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15180" windowHeight="12405" tabRatio="640"/>
  </bookViews>
  <sheets>
    <sheet name="Liste élèves" sheetId="4" r:id="rId1"/>
    <sheet name="Saisie résultats" sheetId="2" r:id="rId2"/>
    <sheet name="Synthèse élèves" sheetId="3" r:id="rId3"/>
    <sheet name="Synthèse classe" sheetId="5" r:id="rId4"/>
  </sheets>
  <definedNames>
    <definedName name="ELEVE" localSheetId="3">'Synthèse classe'!$C$2</definedName>
    <definedName name="ELEVE">'Synthèse élèves'!$C$2</definedName>
    <definedName name="ELEVES">'Saisie résultats'!$B$4:$B$31</definedName>
    <definedName name="_xlnm.Print_Area" localSheetId="1">'Saisie résultats'!$A$1:$BM$45</definedName>
    <definedName name="_xlnm.Print_Area" localSheetId="3">'Synthèse classe'!$A$1:$P$34</definedName>
    <definedName name="_xlnm.Print_Area" localSheetId="2">'Synthèse élèves'!$A$1:$O$34</definedName>
    <definedName name="ZONERESULTATS">'Saisie résultats'!$B$4:$BL$31</definedName>
  </definedNames>
  <calcPr calcId="125725"/>
</workbook>
</file>

<file path=xl/calcChain.xml><?xml version="1.0" encoding="utf-8"?>
<calcChain xmlns="http://schemas.openxmlformats.org/spreadsheetml/2006/main">
  <c r="BM36" i="2"/>
  <c r="BM34"/>
  <c r="J33" i="5" s="1"/>
  <c r="BM33" i="2"/>
  <c r="E33" i="5" s="1"/>
  <c r="F34" i="2"/>
  <c r="K6" i="5"/>
  <c r="BL36" i="2"/>
  <c r="BL34"/>
  <c r="K31" i="5"/>
  <c r="BL33" i="2"/>
  <c r="F31" i="5"/>
  <c r="AI36" i="2"/>
  <c r="AJ36"/>
  <c r="AK36"/>
  <c r="AL36"/>
  <c r="AM36"/>
  <c r="AN36"/>
  <c r="AI34"/>
  <c r="J32" i="5"/>
  <c r="AJ34" i="2"/>
  <c r="K32" i="5" s="1"/>
  <c r="AK34" i="2"/>
  <c r="L32" i="5"/>
  <c r="AL34" i="2"/>
  <c r="M32" i="5"/>
  <c r="AM34" i="2"/>
  <c r="J34" i="5"/>
  <c r="AN34" i="2"/>
  <c r="K34" i="5"/>
  <c r="AI33" i="2"/>
  <c r="E32" i="5"/>
  <c r="AJ33" i="2"/>
  <c r="F32" i="5"/>
  <c r="AK33" i="2"/>
  <c r="G32" i="5"/>
  <c r="AL33" i="2"/>
  <c r="H32" i="5"/>
  <c r="AM33" i="2"/>
  <c r="E34" i="5"/>
  <c r="AN33" i="2"/>
  <c r="F34" i="5"/>
  <c r="B4" i="2"/>
  <c r="E31" i="3" s="1"/>
  <c r="B17" i="2"/>
  <c r="B24"/>
  <c r="B28"/>
  <c r="B30"/>
  <c r="B31"/>
  <c r="C2" i="5"/>
  <c r="N2" i="3"/>
  <c r="D2"/>
  <c r="O36" i="2"/>
  <c r="D33"/>
  <c r="F4" i="5" s="1"/>
  <c r="E33" i="2"/>
  <c r="E6" i="5" s="1"/>
  <c r="F33" i="2"/>
  <c r="F6" i="5" s="1"/>
  <c r="G33" i="2"/>
  <c r="G6" i="5" s="1"/>
  <c r="H33" i="2"/>
  <c r="E8" i="5" s="1"/>
  <c r="I33" i="2"/>
  <c r="J33"/>
  <c r="E10" i="5"/>
  <c r="K33" i="2"/>
  <c r="F10" i="5"/>
  <c r="L33" i="2"/>
  <c r="G10" i="5"/>
  <c r="M33" i="2"/>
  <c r="E12" i="5"/>
  <c r="N33" i="2"/>
  <c r="F12" i="5"/>
  <c r="O33" i="2"/>
  <c r="E14" i="5"/>
  <c r="P33" i="2"/>
  <c r="F14" i="5"/>
  <c r="Q33" i="2"/>
  <c r="E16" i="5"/>
  <c r="R33" i="2"/>
  <c r="F16" i="5"/>
  <c r="S33" i="2"/>
  <c r="E18" i="5"/>
  <c r="T33" i="2"/>
  <c r="F18" i="5"/>
  <c r="U33" i="2"/>
  <c r="G18" i="5"/>
  <c r="V33" i="2"/>
  <c r="E20" i="5"/>
  <c r="W33" i="2"/>
  <c r="E22" i="5"/>
  <c r="X33" i="2"/>
  <c r="F22" i="5"/>
  <c r="Y33" i="2"/>
  <c r="E24" i="5"/>
  <c r="Z33" i="2"/>
  <c r="F24" i="5"/>
  <c r="AA33" i="2"/>
  <c r="E26" i="5"/>
  <c r="AB33" i="2"/>
  <c r="F26" i="5"/>
  <c r="AC33" i="2"/>
  <c r="G26" i="5"/>
  <c r="AD33" i="2"/>
  <c r="E28" i="5"/>
  <c r="AE33" i="2"/>
  <c r="F28" i="5"/>
  <c r="AF33" i="2"/>
  <c r="AG33"/>
  <c r="E30" i="5" s="1"/>
  <c r="AH33" i="2"/>
  <c r="F30" i="5" s="1"/>
  <c r="AO33" i="2"/>
  <c r="E5" i="5" s="1"/>
  <c r="AP33" i="2"/>
  <c r="E7" i="5" s="1"/>
  <c r="AQ33" i="2"/>
  <c r="F7" i="5" s="1"/>
  <c r="AR33" i="2"/>
  <c r="E9" i="5" s="1"/>
  <c r="AS33" i="2"/>
  <c r="AT33"/>
  <c r="E11" i="5"/>
  <c r="AU33" i="2"/>
  <c r="F11" i="5"/>
  <c r="AV33" i="2"/>
  <c r="E13" i="5"/>
  <c r="AW33" i="2"/>
  <c r="E15" i="5"/>
  <c r="AX33" i="2"/>
  <c r="F15" i="5"/>
  <c r="AY33" i="2"/>
  <c r="E17" i="5"/>
  <c r="AZ33" i="2"/>
  <c r="F17" i="5"/>
  <c r="BA33" i="2"/>
  <c r="E19" i="5"/>
  <c r="BB33" i="2"/>
  <c r="F19" i="5"/>
  <c r="BC33" i="2"/>
  <c r="G19" i="5"/>
  <c r="BD33" i="2"/>
  <c r="E21" i="5"/>
  <c r="BE33" i="2"/>
  <c r="E23" i="5"/>
  <c r="BF33" i="2"/>
  <c r="E25" i="5"/>
  <c r="N25" s="1"/>
  <c r="BG33" i="2"/>
  <c r="F25" i="5" s="1"/>
  <c r="BH33" i="2"/>
  <c r="E27" i="5" s="1"/>
  <c r="BI33" i="2"/>
  <c r="F27" i="5" s="1"/>
  <c r="BJ33" i="2"/>
  <c r="E29" i="5" s="1"/>
  <c r="BK33" i="2"/>
  <c r="E31" i="5" s="1"/>
  <c r="D34" i="2"/>
  <c r="K4" i="5" s="1"/>
  <c r="E34" i="2"/>
  <c r="J6" i="5" s="1"/>
  <c r="G34" i="2"/>
  <c r="L6" i="5" s="1"/>
  <c r="H34" i="2"/>
  <c r="J8" i="5" s="1"/>
  <c r="I34" i="2"/>
  <c r="J34"/>
  <c r="J10" i="5"/>
  <c r="K34" i="2"/>
  <c r="K10" i="5"/>
  <c r="L34" i="2"/>
  <c r="L10" i="5"/>
  <c r="M34" i="2"/>
  <c r="J12" i="5"/>
  <c r="N34" i="2"/>
  <c r="K12" i="5"/>
  <c r="O34" i="2"/>
  <c r="J14" i="5"/>
  <c r="N14" s="1"/>
  <c r="P34" i="2"/>
  <c r="K14" i="5"/>
  <c r="Q34" i="2"/>
  <c r="J16" i="5"/>
  <c r="R34" i="2"/>
  <c r="K16" i="5"/>
  <c r="S34" i="2"/>
  <c r="J18" i="5"/>
  <c r="T34" i="2"/>
  <c r="K18" i="5"/>
  <c r="U34" i="2"/>
  <c r="L18" i="5"/>
  <c r="V34" i="2"/>
  <c r="J20" i="5"/>
  <c r="W34" i="2"/>
  <c r="J22" i="5"/>
  <c r="X34" i="2"/>
  <c r="K22" i="5"/>
  <c r="Y34" i="2"/>
  <c r="J24" i="5"/>
  <c r="Z34" i="2"/>
  <c r="K24" i="5"/>
  <c r="AA34" i="2"/>
  <c r="J26" i="5"/>
  <c r="AB34" i="2"/>
  <c r="K26" i="5"/>
  <c r="AC34" i="2"/>
  <c r="L26" i="5"/>
  <c r="AD34" i="2"/>
  <c r="J28" i="5"/>
  <c r="AE34" i="2"/>
  <c r="K28" i="5"/>
  <c r="AF34" i="2"/>
  <c r="AG34"/>
  <c r="J30" i="5" s="1"/>
  <c r="AH34" i="2"/>
  <c r="K30" i="5" s="1"/>
  <c r="AO34" i="2"/>
  <c r="J5" i="5" s="1"/>
  <c r="AP34" i="2"/>
  <c r="J7" i="5" s="1"/>
  <c r="AQ34" i="2"/>
  <c r="K7" i="5" s="1"/>
  <c r="AR34" i="2"/>
  <c r="J9" i="5" s="1"/>
  <c r="AS34" i="2"/>
  <c r="AT34"/>
  <c r="J11" i="5"/>
  <c r="O10" s="1"/>
  <c r="AU34" i="2"/>
  <c r="K11" i="5"/>
  <c r="AV34" i="2"/>
  <c r="J13" i="5"/>
  <c r="AW34" i="2"/>
  <c r="J15" i="5"/>
  <c r="AX34" i="2"/>
  <c r="K15" i="5"/>
  <c r="AY34" i="2"/>
  <c r="J17" i="5"/>
  <c r="AZ34" i="2"/>
  <c r="K17" i="5"/>
  <c r="BA34" i="2"/>
  <c r="J19" i="5"/>
  <c r="BB34" i="2"/>
  <c r="K19" i="5"/>
  <c r="BC34" i="2"/>
  <c r="L19" i="5"/>
  <c r="BD34" i="2"/>
  <c r="J21" i="5"/>
  <c r="BE34" i="2"/>
  <c r="J23" i="5"/>
  <c r="BF34" i="2"/>
  <c r="J25" i="5"/>
  <c r="BG34" i="2"/>
  <c r="K25" i="5"/>
  <c r="BH34" i="2"/>
  <c r="J27" i="5"/>
  <c r="BI34" i="2"/>
  <c r="K27" i="5"/>
  <c r="BJ34" i="2"/>
  <c r="J29" i="5"/>
  <c r="BK34" i="2"/>
  <c r="J31" i="5"/>
  <c r="C34" i="2"/>
  <c r="J4" i="5"/>
  <c r="C33" i="2"/>
  <c r="E4" i="5"/>
  <c r="O4" s="1"/>
  <c r="P1"/>
  <c r="D36" i="2"/>
  <c r="E36"/>
  <c r="F36"/>
  <c r="G36"/>
  <c r="H36"/>
  <c r="I36"/>
  <c r="J36"/>
  <c r="K36"/>
  <c r="L36"/>
  <c r="M36"/>
  <c r="N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C36"/>
  <c r="BH40"/>
  <c r="O1" i="3"/>
  <c r="B2" i="2"/>
  <c r="B1"/>
  <c r="B5"/>
  <c r="B6"/>
  <c r="B7"/>
  <c r="B8"/>
  <c r="B9"/>
  <c r="B10"/>
  <c r="B11"/>
  <c r="B12"/>
  <c r="B13"/>
  <c r="B14"/>
  <c r="B15"/>
  <c r="B16"/>
  <c r="B18"/>
  <c r="B19"/>
  <c r="B20"/>
  <c r="B21"/>
  <c r="B22"/>
  <c r="B23"/>
  <c r="B25"/>
  <c r="B26"/>
  <c r="B27"/>
  <c r="B29"/>
  <c r="N26" i="5"/>
  <c r="N11"/>
  <c r="N34"/>
  <c r="O34" s="1"/>
  <c r="P34" s="1"/>
  <c r="O16"/>
  <c r="N21"/>
  <c r="N13"/>
  <c r="E8" i="3"/>
  <c r="E22"/>
  <c r="F17"/>
  <c r="F4"/>
  <c r="G6"/>
  <c r="F10"/>
  <c r="E14"/>
  <c r="M14" s="1"/>
  <c r="E18"/>
  <c r="E20"/>
  <c r="F24"/>
  <c r="E28"/>
  <c r="F30"/>
  <c r="H32"/>
  <c r="F7"/>
  <c r="F11"/>
  <c r="E17"/>
  <c r="G19"/>
  <c r="F25"/>
  <c r="E29"/>
  <c r="M29" s="1"/>
  <c r="E5"/>
  <c r="M5"/>
  <c r="F18"/>
  <c r="F28"/>
  <c r="N28" s="1"/>
  <c r="O28" s="1"/>
  <c r="E34"/>
  <c r="E13"/>
  <c r="M13" s="1"/>
  <c r="E27"/>
  <c r="E4"/>
  <c r="F6"/>
  <c r="E10"/>
  <c r="F12"/>
  <c r="F16"/>
  <c r="E24"/>
  <c r="M24" s="1"/>
  <c r="G26"/>
  <c r="E30"/>
  <c r="G32"/>
  <c r="E7"/>
  <c r="M7" s="1"/>
  <c r="E11"/>
  <c r="M11" s="1"/>
  <c r="F15"/>
  <c r="F19"/>
  <c r="E25"/>
  <c r="M25" s="1"/>
  <c r="G10"/>
  <c r="F14"/>
  <c r="E26"/>
  <c r="M26" s="1"/>
  <c r="E32"/>
  <c r="E9"/>
  <c r="E21"/>
  <c r="M21" s="1"/>
  <c r="E6"/>
  <c r="N6" s="1"/>
  <c r="E12"/>
  <c r="E16"/>
  <c r="N16" s="1"/>
  <c r="G18"/>
  <c r="F22"/>
  <c r="F26"/>
  <c r="F32"/>
  <c r="F34"/>
  <c r="M34" s="1"/>
  <c r="E15"/>
  <c r="M15" s="1"/>
  <c r="E19"/>
  <c r="M19" s="1"/>
  <c r="E23"/>
  <c r="M23" s="1"/>
  <c r="F27"/>
  <c r="M32"/>
  <c r="N32" s="1"/>
  <c r="N24"/>
  <c r="N26"/>
  <c r="N4"/>
  <c r="M4"/>
  <c r="M12"/>
  <c r="M18"/>
  <c r="M9"/>
  <c r="M17"/>
  <c r="M16"/>
  <c r="M20"/>
  <c r="N8"/>
  <c r="M8"/>
  <c r="M27"/>
  <c r="N18" l="1"/>
  <c r="M28"/>
  <c r="N27" i="5"/>
  <c r="N23"/>
  <c r="N19"/>
  <c r="N17"/>
  <c r="N15"/>
  <c r="E33" i="3"/>
  <c r="M33" s="1"/>
  <c r="N33" s="1"/>
  <c r="M6"/>
  <c r="O4"/>
  <c r="F31"/>
  <c r="M10"/>
  <c r="N29" i="5"/>
  <c r="O24"/>
  <c r="N22"/>
  <c r="N20"/>
  <c r="O18"/>
  <c r="N16"/>
  <c r="O14"/>
  <c r="N12"/>
  <c r="N10"/>
  <c r="O14" i="3"/>
  <c r="M30"/>
  <c r="N12"/>
  <c r="O18"/>
  <c r="O10"/>
  <c r="N22"/>
  <c r="N31" i="5"/>
  <c r="N32"/>
  <c r="N33"/>
  <c r="N6"/>
  <c r="O6"/>
  <c r="M31" i="3"/>
  <c r="N30"/>
  <c r="N5" i="5"/>
  <c r="N7"/>
  <c r="O32"/>
  <c r="O30"/>
  <c r="N30"/>
  <c r="P30"/>
  <c r="O28"/>
  <c r="P28" s="1"/>
  <c r="O26"/>
  <c r="O34" i="3"/>
  <c r="N34"/>
  <c r="N8" i="5"/>
  <c r="O8"/>
  <c r="P18"/>
  <c r="N9"/>
  <c r="N4"/>
  <c r="O30" i="3"/>
  <c r="N20"/>
  <c r="M22"/>
  <c r="P10" i="5"/>
  <c r="N28"/>
  <c r="O12"/>
  <c r="N24"/>
  <c r="N18"/>
  <c r="O22"/>
  <c r="N14" i="3"/>
  <c r="O20" i="5"/>
  <c r="P14"/>
  <c r="N10" i="3"/>
  <c r="P4" i="5"/>
</calcChain>
</file>

<file path=xl/comments1.xml><?xml version="1.0" encoding="utf-8"?>
<comments xmlns="http://schemas.openxmlformats.org/spreadsheetml/2006/main">
  <authors>
    <author>Jean-Claude</author>
  </authors>
  <commentList>
    <comment ref="C2" authorId="0">
      <text>
        <r>
          <rPr>
            <b/>
            <i/>
            <sz val="8"/>
            <color indexed="81"/>
            <rFont val="Tahoma"/>
            <family val="2"/>
          </rPr>
          <t xml:space="preserve">Sélectionner le nom de l'élève.
</t>
        </r>
      </text>
    </comment>
  </commentList>
</comments>
</file>

<file path=xl/sharedStrings.xml><?xml version="1.0" encoding="utf-8"?>
<sst xmlns="http://schemas.openxmlformats.org/spreadsheetml/2006/main" count="263" uniqueCount="170">
  <si>
    <t>Cours préparatoire</t>
  </si>
  <si>
    <t>Grande section</t>
  </si>
  <si>
    <t>Nom prénom de l'élève</t>
  </si>
  <si>
    <t>EX7</t>
  </si>
  <si>
    <t>NOMS</t>
  </si>
  <si>
    <t>PRENOMS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</si>
  <si>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</si>
  <si>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</si>
  <si>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</si>
  <si>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</si>
  <si>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</si>
  <si>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</si>
  <si>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</si>
  <si>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</si>
  <si>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</si>
  <si>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</si>
  <si>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</si>
  <si>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</si>
  <si>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</si>
  <si>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</si>
  <si>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</si>
  <si>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</si>
  <si>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</si>
  <si>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</si>
  <si>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</si>
  <si>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</si>
  <si>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</si>
  <si>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</si>
  <si>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</si>
  <si>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</si>
  <si>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</si>
  <si>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</si>
  <si>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</si>
  <si>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ECOLE</t>
  </si>
  <si>
    <t>Classe</t>
  </si>
  <si>
    <t>Nom classe</t>
  </si>
  <si>
    <t>A</t>
  </si>
  <si>
    <t>Réussite</t>
  </si>
  <si>
    <t>Réussite partielle</t>
  </si>
  <si>
    <t>Echec</t>
  </si>
  <si>
    <t>Non réponse</t>
  </si>
  <si>
    <t>Absence de l'élève</t>
  </si>
  <si>
    <t>LEGENDE</t>
  </si>
  <si>
    <r>
      <t>N</t>
    </r>
    <r>
      <rPr>
        <b/>
        <vertAlign val="superscript"/>
        <sz val="8"/>
        <rFont val="Arial Narrow"/>
        <family val="2"/>
      </rPr>
      <t>os</t>
    </r>
    <r>
      <rPr>
        <b/>
        <sz val="8"/>
        <rFont val="Arial Narrow"/>
        <family val="2"/>
      </rPr>
      <t xml:space="preserve"> items</t>
    </r>
  </si>
  <si>
    <t>SR</t>
  </si>
  <si>
    <t>Nom de l'élève :</t>
  </si>
  <si>
    <t>Résultats par item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</si>
  <si>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</si>
  <si>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</si>
  <si>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</si>
  <si>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</si>
  <si>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</si>
  <si>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</si>
  <si>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</si>
  <si>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</si>
  <si>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</si>
  <si>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</si>
  <si>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</si>
  <si>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</si>
  <si>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</si>
  <si>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</si>
  <si>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</si>
  <si>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</si>
  <si>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</si>
  <si>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</si>
  <si>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</si>
  <si>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</si>
  <si>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</si>
  <si>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</si>
  <si>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</si>
  <si>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</si>
  <si>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</si>
  <si>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</si>
  <si>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</si>
  <si>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TEST</t>
  </si>
  <si>
    <t>2009 
2010</t>
  </si>
  <si>
    <t>Scores de réussite par item sur l'ensemble du groupe d'élève</t>
  </si>
  <si>
    <t>Réussites</t>
  </si>
  <si>
    <t>NB d'items validés</t>
  </si>
  <si>
    <t>Réussites par item</t>
  </si>
  <si>
    <t>groupe d'items</t>
  </si>
  <si>
    <t>Capacités</t>
  </si>
  <si>
    <t>Elève 1</t>
  </si>
  <si>
    <t>TEST Elève 1</t>
  </si>
  <si>
    <t>ÉVALUATION DES ACQUIS
DES ÉLÈVES DE GRANDE SECTION ET COURS PRÉPARATOIRE
DÉCOUVERTE DU MONDE
VERS LES MATHÉMATIQUES</t>
  </si>
  <si>
    <t>EX. 1</t>
  </si>
  <si>
    <t>EX. 4</t>
  </si>
  <si>
    <t>EX. 5</t>
  </si>
  <si>
    <t>EX. 6</t>
  </si>
  <si>
    <t>EX. 7</t>
  </si>
  <si>
    <t>EX. 8</t>
  </si>
  <si>
    <t>EX. 2</t>
  </si>
  <si>
    <t>EX. 3</t>
  </si>
  <si>
    <t>EX.10</t>
  </si>
  <si>
    <t>EX.11</t>
  </si>
  <si>
    <t>EX.12</t>
  </si>
  <si>
    <t>EX.13</t>
  </si>
  <si>
    <t>EX.14</t>
  </si>
  <si>
    <t>EX.15</t>
  </si>
  <si>
    <t>EX.16</t>
  </si>
  <si>
    <t>EX4</t>
  </si>
  <si>
    <t>EX8</t>
  </si>
  <si>
    <t>EX9</t>
  </si>
  <si>
    <t>EX13</t>
  </si>
  <si>
    <t>1 ; 2</t>
  </si>
  <si>
    <t>1’</t>
  </si>
  <si>
    <t>3 ; 4 ; 5</t>
  </si>
  <si>
    <t>2’ ; 3’</t>
  </si>
  <si>
    <t>6 ; (7)</t>
  </si>
  <si>
    <t>8 ; 9 ; 10</t>
  </si>
  <si>
    <t>6’ ; 7’</t>
  </si>
  <si>
    <t>11 ; 12</t>
  </si>
  <si>
    <t>8’</t>
  </si>
  <si>
    <t>13 ; 14</t>
  </si>
  <si>
    <t>9’ ; 10’</t>
  </si>
  <si>
    <t>15 ; 16</t>
  </si>
  <si>
    <t>11’ ; 12’</t>
  </si>
  <si>
    <t>17 ; 18 ; 19</t>
  </si>
  <si>
    <t>13’ ; 14’ ; 15’</t>
  </si>
  <si>
    <t>16’</t>
  </si>
  <si>
    <t>21 ; 22</t>
  </si>
  <si>
    <t>17’</t>
  </si>
  <si>
    <t>23 ; 24</t>
  </si>
  <si>
    <t>18’ ; 19’</t>
  </si>
  <si>
    <t>25 ; 26 ; 27</t>
  </si>
  <si>
    <t>20’ ; 21’</t>
  </si>
  <si>
    <t>28 ; 29 ; (30)</t>
  </si>
  <si>
    <t>22’</t>
  </si>
  <si>
    <t>31 ; 32</t>
  </si>
  <si>
    <t>23’ ; 24’</t>
  </si>
  <si>
    <t>33 ; 34 ; 35 ; 36</t>
  </si>
  <si>
    <t>37 ; 38</t>
  </si>
  <si>
    <t>mémoriser la suite des nombres au moins jusqu’à 30 ;  de 1 à … ; de 9 à … ; de 11 à … (CP) : suite irrégulière à l’oral</t>
  </si>
  <si>
    <t>associer le nom de nombres connus avec leur écriture chiffrée (5 ; 7 ; 11 ; 13 ; 28 ;21 en GS – 14 ; 16 ; 20 ; 29 en CP)</t>
  </si>
  <si>
    <t>comparer des quantités</t>
  </si>
  <si>
    <t xml:space="preserve">résoudre des problèmes portant sur les quantités ;  comparaison, </t>
  </si>
  <si>
    <t xml:space="preserve">résoudre des problèmes portant sur les quantités ; augmentation, </t>
  </si>
  <si>
    <t xml:space="preserve">résoudre des problèmes portant sur les quantités ;  réunion, </t>
  </si>
  <si>
    <t>résoudre des problèmes portant sur les quantités ;  réduction,</t>
  </si>
  <si>
    <t xml:space="preserve">résoudre des problèmes portant sur les quantités ;  distribution, </t>
  </si>
  <si>
    <t>résoudre des problèmes portant sur les quantités ;  partage</t>
  </si>
  <si>
    <t>repérer des positions dans une liste ordonnée d’objets</t>
  </si>
  <si>
    <t>dessiner un rond, un carré, un triangle ;</t>
  </si>
  <si>
    <t>comprendre et utiliser à bon escient le vocabulaire du repérage et des relations […] dans l’espace. (au-dessus ; à droite ; entre ; sous)</t>
  </si>
  <si>
    <t>comparer, ranger et classer des objets selon leurs qualités et leurs usages</t>
  </si>
  <si>
    <r>
      <t>dénombrer une quantité en utilisant la suite orale des nombres connus</t>
    </r>
    <r>
      <rPr>
        <sz val="11"/>
        <color indexed="8"/>
        <rFont val="Arial"/>
        <family val="2"/>
      </rPr>
      <t xml:space="preserve"> (objets déplaçables)</t>
    </r>
  </si>
  <si>
    <r>
      <t>dénombrer une quantité en utilisant la suite orale des nombres connus</t>
    </r>
    <r>
      <rPr>
        <sz val="11"/>
        <color indexed="8"/>
        <rFont val="Arial"/>
        <family val="2"/>
      </rPr>
      <t xml:space="preserve"> </t>
    </r>
  </si>
  <si>
    <t>EX1</t>
  </si>
  <si>
    <t>EX2</t>
  </si>
  <si>
    <t>EX3</t>
  </si>
  <si>
    <t>EX5</t>
  </si>
  <si>
    <t>EX6</t>
  </si>
  <si>
    <t>EX10</t>
  </si>
  <si>
    <t>EX11</t>
  </si>
  <si>
    <t>EX12</t>
  </si>
  <si>
    <t>EX14</t>
  </si>
  <si>
    <t>Dire, lire, écrire les nombres</t>
  </si>
  <si>
    <t>Comparer des quantités</t>
  </si>
  <si>
    <t>Dénombrer</t>
  </si>
  <si>
    <t>Résoudre des problèmes</t>
  </si>
  <si>
    <t>Espace et géométrie</t>
  </si>
  <si>
    <t>Classer, ordonner</t>
  </si>
  <si>
    <t>Utiliser l'aspect ordinal du nombre</t>
  </si>
  <si>
    <t>2009
2010</t>
  </si>
  <si>
    <t>Ecole I</t>
  </si>
  <si>
    <t>Nombre d'items valides</t>
  </si>
  <si>
    <t>4’ ; (5’)</t>
  </si>
  <si>
    <t>25'</t>
  </si>
  <si>
    <t>EX15</t>
  </si>
  <si>
    <t>écrire avec des chiffres un nombre dicté (3 ; 6 ; 9 ; 10 ; 12 en CP - 5 ; 7 ; 8 ; 14 ; 19) - écrire des chiffres (geste graphique)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</si>
</sst>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25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 Black"/>
      <family val="2"/>
    </font>
    <font>
      <sz val="8"/>
      <name val="Arial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color indexed="81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sz val="12"/>
      <name val="Arial Black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3" fontId="1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4" fillId="0" borderId="0" xfId="1" applyNumberFormat="1" applyFont="1" applyAlignment="1">
      <alignment horizontal="right" vertical="center" wrapText="1"/>
    </xf>
    <xf numFmtId="9" fontId="0" fillId="0" borderId="0" xfId="1" applyNumberFormat="1" applyFont="1"/>
    <xf numFmtId="9" fontId="15" fillId="0" borderId="15" xfId="1" applyNumberFormat="1" applyFont="1" applyBorder="1" applyAlignment="1">
      <alignment horizontal="center" vertical="center" textRotation="90"/>
    </xf>
    <xf numFmtId="9" fontId="15" fillId="0" borderId="16" xfId="1" applyNumberFormat="1" applyFont="1" applyBorder="1" applyAlignment="1">
      <alignment horizontal="center" vertical="center" textRotation="90"/>
    </xf>
    <xf numFmtId="9" fontId="15" fillId="0" borderId="17" xfId="1" applyNumberFormat="1" applyFont="1" applyBorder="1" applyAlignment="1">
      <alignment horizontal="center" vertical="center" textRotation="90"/>
    </xf>
    <xf numFmtId="9" fontId="15" fillId="0" borderId="18" xfId="1" applyNumberFormat="1" applyFont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9" fontId="19" fillId="0" borderId="0" xfId="1" applyNumberFormat="1" applyFont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0" fillId="0" borderId="13" xfId="0" applyBorder="1"/>
    <xf numFmtId="0" fontId="18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0" xfId="0" applyBorder="1"/>
    <xf numFmtId="0" fontId="12" fillId="0" borderId="16" xfId="0" applyFont="1" applyBorder="1" applyAlignment="1">
      <alignment vertical="center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34" xfId="0" applyBorder="1"/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/>
    <xf numFmtId="0" fontId="12" fillId="2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0" borderId="32" xfId="0" applyFont="1" applyBorder="1"/>
    <xf numFmtId="0" fontId="22" fillId="0" borderId="7" xfId="0" applyFont="1" applyBorder="1" applyAlignment="1">
      <alignment horizontal="center" vertical="center" wrapText="1"/>
    </xf>
    <xf numFmtId="0" fontId="0" fillId="0" borderId="32" xfId="0" applyBorder="1"/>
    <xf numFmtId="0" fontId="3" fillId="0" borderId="13" xfId="0" applyFont="1" applyBorder="1" applyAlignment="1">
      <alignment horizontal="center" vertical="center"/>
    </xf>
    <xf numFmtId="0" fontId="0" fillId="0" borderId="35" xfId="0" applyBorder="1"/>
    <xf numFmtId="9" fontId="15" fillId="0" borderId="2" xfId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9" fontId="15" fillId="0" borderId="22" xfId="1" applyFont="1" applyFill="1" applyBorder="1" applyAlignment="1">
      <alignment horizontal="center" vertical="center"/>
    </xf>
    <xf numFmtId="9" fontId="15" fillId="0" borderId="36" xfId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9" fontId="11" fillId="0" borderId="38" xfId="1" applyNumberFormat="1" applyFont="1" applyBorder="1" applyAlignment="1">
      <alignment horizontal="center" vertical="center"/>
    </xf>
    <xf numFmtId="9" fontId="11" fillId="0" borderId="9" xfId="1" applyNumberFormat="1" applyFont="1" applyBorder="1" applyAlignment="1">
      <alignment horizontal="center" vertical="center"/>
    </xf>
    <xf numFmtId="9" fontId="11" fillId="0" borderId="12" xfId="1" applyNumberFormat="1" applyFont="1" applyBorder="1" applyAlignment="1">
      <alignment horizontal="center" vertical="center"/>
    </xf>
    <xf numFmtId="9" fontId="11" fillId="0" borderId="36" xfId="1" applyNumberFormat="1" applyFont="1" applyBorder="1" applyAlignment="1">
      <alignment horizontal="center" vertical="center"/>
    </xf>
    <xf numFmtId="9" fontId="11" fillId="0" borderId="36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0" fillId="0" borderId="42" xfId="0" applyBorder="1"/>
    <xf numFmtId="0" fontId="0" fillId="0" borderId="26" xfId="0" applyBorder="1"/>
    <xf numFmtId="0" fontId="0" fillId="0" borderId="43" xfId="0" applyBorder="1"/>
    <xf numFmtId="0" fontId="2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0" fillId="0" borderId="28" xfId="0" applyBorder="1"/>
    <xf numFmtId="0" fontId="0" fillId="0" borderId="14" xfId="0" applyBorder="1"/>
    <xf numFmtId="0" fontId="0" fillId="0" borderId="46" xfId="0" applyBorder="1"/>
    <xf numFmtId="9" fontId="15" fillId="0" borderId="4" xfId="1" applyFont="1" applyFill="1" applyBorder="1" applyAlignment="1">
      <alignment horizontal="center" vertical="center"/>
    </xf>
    <xf numFmtId="9" fontId="11" fillId="0" borderId="42" xfId="1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9" fontId="15" fillId="0" borderId="49" xfId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 indent="2"/>
    </xf>
    <xf numFmtId="0" fontId="22" fillId="2" borderId="50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2"/>
    </xf>
    <xf numFmtId="0" fontId="23" fillId="0" borderId="4" xfId="0" applyFont="1" applyBorder="1" applyAlignment="1">
      <alignment horizontal="left" vertical="center" wrapText="1" indent="2"/>
    </xf>
    <xf numFmtId="9" fontId="15" fillId="0" borderId="22" xfId="1" applyFont="1" applyFill="1" applyBorder="1" applyAlignment="1">
      <alignment horizontal="center" vertical="center"/>
    </xf>
    <xf numFmtId="9" fontId="15" fillId="0" borderId="61" xfId="1" applyFont="1" applyFill="1" applyBorder="1" applyAlignment="1">
      <alignment horizontal="center" vertical="center"/>
    </xf>
    <xf numFmtId="9" fontId="15" fillId="0" borderId="36" xfId="1" applyFont="1" applyFill="1" applyBorder="1" applyAlignment="1">
      <alignment horizontal="center" vertical="center"/>
    </xf>
    <xf numFmtId="9" fontId="16" fillId="0" borderId="37" xfId="1" applyFont="1" applyFill="1" applyBorder="1" applyAlignment="1">
      <alignment horizontal="center" vertical="center"/>
    </xf>
    <xf numFmtId="9" fontId="16" fillId="0" borderId="59" xfId="1" applyFont="1" applyFill="1" applyBorder="1" applyAlignment="1">
      <alignment horizontal="center" vertical="center"/>
    </xf>
    <xf numFmtId="9" fontId="16" fillId="0" borderId="49" xfId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left" vertical="center" wrapText="1" indent="2"/>
    </xf>
    <xf numFmtId="0" fontId="17" fillId="0" borderId="7" xfId="0" applyFont="1" applyBorder="1" applyAlignment="1">
      <alignment horizontal="left" vertical="center" wrapText="1" indent="2"/>
    </xf>
    <xf numFmtId="0" fontId="17" fillId="0" borderId="60" xfId="0" applyFont="1" applyBorder="1" applyAlignment="1">
      <alignment horizontal="left" vertical="center" wrapText="1" indent="2"/>
    </xf>
    <xf numFmtId="0" fontId="17" fillId="0" borderId="54" xfId="0" applyFont="1" applyBorder="1" applyAlignment="1">
      <alignment horizontal="left" vertical="center" wrapText="1" indent="2"/>
    </xf>
    <xf numFmtId="0" fontId="17" fillId="0" borderId="62" xfId="0" applyFont="1" applyBorder="1" applyAlignment="1">
      <alignment horizontal="left" vertical="center" wrapText="1" indent="2"/>
    </xf>
    <xf numFmtId="0" fontId="23" fillId="0" borderId="2" xfId="0" applyFont="1" applyBorder="1" applyAlignment="1">
      <alignment horizontal="left" vertical="center" wrapText="1" indent="2"/>
    </xf>
    <xf numFmtId="0" fontId="17" fillId="0" borderId="63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wrapText="1"/>
    </xf>
    <xf numFmtId="0" fontId="17" fillId="0" borderId="5" xfId="0" applyFont="1" applyBorder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11" fillId="0" borderId="43" xfId="0" applyNumberFormat="1" applyFont="1" applyBorder="1" applyAlignment="1">
      <alignment horizontal="center" vertical="center"/>
    </xf>
    <xf numFmtId="9" fontId="11" fillId="0" borderId="21" xfId="0" applyNumberFormat="1" applyFont="1" applyBorder="1" applyAlignment="1">
      <alignment horizontal="center" vertical="center"/>
    </xf>
    <xf numFmtId="9" fontId="11" fillId="0" borderId="22" xfId="0" applyNumberFormat="1" applyFont="1" applyBorder="1" applyAlignment="1">
      <alignment horizontal="center" vertical="center"/>
    </xf>
    <xf numFmtId="9" fontId="11" fillId="0" borderId="61" xfId="0" applyNumberFormat="1" applyFont="1" applyBorder="1" applyAlignment="1">
      <alignment horizontal="center" vertical="center"/>
    </xf>
    <xf numFmtId="9" fontId="11" fillId="0" borderId="36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 indent="2"/>
    </xf>
    <xf numFmtId="0" fontId="23" fillId="0" borderId="6" xfId="0" applyFont="1" applyBorder="1" applyAlignment="1">
      <alignment horizontal="left" vertical="center" wrapText="1" indent="2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9" fontId="11" fillId="0" borderId="11" xfId="1" applyNumberFormat="1" applyFont="1" applyBorder="1" applyAlignment="1">
      <alignment horizontal="center" vertical="center"/>
    </xf>
    <xf numFmtId="9" fontId="11" fillId="0" borderId="46" xfId="1" applyNumberFormat="1" applyFont="1" applyBorder="1" applyAlignment="1">
      <alignment horizontal="center" vertical="center"/>
    </xf>
    <xf numFmtId="9" fontId="11" fillId="0" borderId="14" xfId="1" applyNumberFormat="1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9" fontId="11" fillId="0" borderId="43" xfId="1" applyNumberFormat="1" applyFont="1" applyBorder="1" applyAlignment="1">
      <alignment horizontal="center" vertical="center"/>
    </xf>
    <xf numFmtId="9" fontId="11" fillId="0" borderId="22" xfId="1" applyNumberFormat="1" applyFont="1" applyBorder="1" applyAlignment="1">
      <alignment horizontal="center" vertical="center"/>
    </xf>
    <xf numFmtId="9" fontId="11" fillId="0" borderId="61" xfId="1" applyNumberFormat="1" applyFont="1" applyBorder="1" applyAlignment="1">
      <alignment horizontal="center" vertical="center"/>
    </xf>
    <xf numFmtId="9" fontId="11" fillId="0" borderId="36" xfId="1" applyNumberFormat="1" applyFont="1" applyBorder="1" applyAlignment="1">
      <alignment horizontal="center" vertical="center"/>
    </xf>
    <xf numFmtId="9" fontId="11" fillId="0" borderId="22" xfId="1" applyNumberFormat="1" applyFont="1" applyFill="1" applyBorder="1" applyAlignment="1">
      <alignment horizontal="center" vertical="center"/>
    </xf>
    <xf numFmtId="9" fontId="11" fillId="0" borderId="61" xfId="1" applyNumberFormat="1" applyFont="1" applyFill="1" applyBorder="1" applyAlignment="1">
      <alignment horizontal="center" vertical="center"/>
    </xf>
    <xf numFmtId="9" fontId="11" fillId="0" borderId="36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8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2</xdr:col>
      <xdr:colOff>85725</xdr:colOff>
      <xdr:row>0</xdr:row>
      <xdr:rowOff>1095375</xdr:rowOff>
    </xdr:to>
    <xdr:pic>
      <xdr:nvPicPr>
        <xdr:cNvPr id="309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1</xdr:col>
      <xdr:colOff>447675</xdr:colOff>
      <xdr:row>1</xdr:row>
      <xdr:rowOff>57150</xdr:rowOff>
    </xdr:to>
    <xdr:pic>
      <xdr:nvPicPr>
        <xdr:cNvPr id="209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1</xdr:col>
      <xdr:colOff>752475</xdr:colOff>
      <xdr:row>2</xdr:row>
      <xdr:rowOff>19050</xdr:rowOff>
    </xdr:to>
    <xdr:pic>
      <xdr:nvPicPr>
        <xdr:cNvPr id="41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>
      <selection activeCell="C7" sqref="C7"/>
    </sheetView>
  </sheetViews>
  <sheetFormatPr baseColWidth="10" defaultRowHeight="12.75"/>
  <cols>
    <col min="2" max="2" width="4.42578125" customWidth="1"/>
    <col min="3" max="3" width="27.85546875" customWidth="1"/>
    <col min="4" max="4" width="28.28515625" customWidth="1"/>
  </cols>
  <sheetData>
    <row r="1" spans="1:14" ht="88.5" customHeight="1">
      <c r="C1" s="172" t="s">
        <v>84</v>
      </c>
      <c r="D1" s="172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173" t="s">
        <v>163</v>
      </c>
    </row>
    <row r="3" spans="1:14">
      <c r="A3" s="173"/>
      <c r="C3" s="24" t="s">
        <v>33</v>
      </c>
      <c r="D3" s="13" t="s">
        <v>164</v>
      </c>
    </row>
    <row r="4" spans="1:14">
      <c r="A4" s="173"/>
      <c r="C4" s="24" t="s">
        <v>34</v>
      </c>
      <c r="D4" s="14" t="s">
        <v>35</v>
      </c>
    </row>
    <row r="5" spans="1:14">
      <c r="A5" s="173"/>
    </row>
    <row r="6" spans="1:14" ht="32.25" customHeight="1" thickBot="1">
      <c r="B6" s="3"/>
      <c r="C6" s="11" t="s">
        <v>4</v>
      </c>
      <c r="D6" s="11" t="s">
        <v>5</v>
      </c>
    </row>
    <row r="7" spans="1:14" ht="14.25" customHeight="1">
      <c r="B7" s="8">
        <v>1</v>
      </c>
      <c r="C7" s="28" t="s">
        <v>74</v>
      </c>
      <c r="D7" s="28" t="s">
        <v>82</v>
      </c>
    </row>
    <row r="8" spans="1:14" ht="14.25" customHeight="1">
      <c r="B8" s="9">
        <v>2</v>
      </c>
      <c r="C8" s="28" t="s">
        <v>47</v>
      </c>
      <c r="D8" s="2" t="s">
        <v>6</v>
      </c>
    </row>
    <row r="9" spans="1:14" ht="14.25" customHeight="1">
      <c r="B9" s="9">
        <v>3</v>
      </c>
      <c r="C9" s="28" t="s">
        <v>48</v>
      </c>
      <c r="D9" s="2" t="s">
        <v>7</v>
      </c>
    </row>
    <row r="10" spans="1:14" ht="14.25" customHeight="1">
      <c r="B10" s="9">
        <v>4</v>
      </c>
      <c r="C10" s="28" t="s">
        <v>49</v>
      </c>
      <c r="D10" s="2" t="s">
        <v>8</v>
      </c>
    </row>
    <row r="11" spans="1:14" ht="14.25" customHeight="1">
      <c r="B11" s="9">
        <v>5</v>
      </c>
      <c r="C11" s="28" t="s">
        <v>50</v>
      </c>
      <c r="D11" s="2" t="s">
        <v>9</v>
      </c>
    </row>
    <row r="12" spans="1:14" ht="14.25" customHeight="1">
      <c r="B12" s="9">
        <v>6</v>
      </c>
      <c r="C12" s="28" t="s">
        <v>51</v>
      </c>
      <c r="D12" s="2" t="s">
        <v>10</v>
      </c>
    </row>
    <row r="13" spans="1:14" ht="14.25" customHeight="1">
      <c r="B13" s="9">
        <v>7</v>
      </c>
      <c r="C13" s="28" t="s">
        <v>52</v>
      </c>
      <c r="D13" s="2" t="s">
        <v>11</v>
      </c>
    </row>
    <row r="14" spans="1:14" ht="14.25" customHeight="1">
      <c r="B14" s="9">
        <v>8</v>
      </c>
      <c r="C14" s="28" t="s">
        <v>53</v>
      </c>
      <c r="D14" s="2" t="s">
        <v>12</v>
      </c>
    </row>
    <row r="15" spans="1:14" ht="14.25" customHeight="1">
      <c r="B15" s="9">
        <v>9</v>
      </c>
      <c r="C15" s="28" t="s">
        <v>54</v>
      </c>
      <c r="D15" s="2" t="s">
        <v>13</v>
      </c>
    </row>
    <row r="16" spans="1:14" ht="14.25" customHeight="1">
      <c r="B16" s="9">
        <v>10</v>
      </c>
      <c r="C16" s="28" t="s">
        <v>55</v>
      </c>
      <c r="D16" s="2" t="s">
        <v>14</v>
      </c>
    </row>
    <row r="17" spans="2:4" ht="14.25" customHeight="1">
      <c r="B17" s="9">
        <v>11</v>
      </c>
      <c r="C17" s="28" t="s">
        <v>56</v>
      </c>
      <c r="D17" s="2" t="s">
        <v>15</v>
      </c>
    </row>
    <row r="18" spans="2:4" ht="14.25" customHeight="1">
      <c r="B18" s="9">
        <v>12</v>
      </c>
      <c r="C18" s="28" t="s">
        <v>57</v>
      </c>
      <c r="D18" s="2" t="s">
        <v>16</v>
      </c>
    </row>
    <row r="19" spans="2:4" ht="14.25" customHeight="1">
      <c r="B19" s="9">
        <v>13</v>
      </c>
      <c r="C19" s="28" t="s">
        <v>58</v>
      </c>
      <c r="D19" s="2" t="s">
        <v>17</v>
      </c>
    </row>
    <row r="20" spans="2:4" ht="14.25" customHeight="1">
      <c r="B20" s="9">
        <v>14</v>
      </c>
      <c r="C20" s="28" t="s">
        <v>59</v>
      </c>
      <c r="D20" s="2" t="s">
        <v>18</v>
      </c>
    </row>
    <row r="21" spans="2:4" ht="14.25" customHeight="1">
      <c r="B21" s="9">
        <v>15</v>
      </c>
      <c r="C21" s="28" t="s">
        <v>60</v>
      </c>
      <c r="D21" s="2" t="s">
        <v>19</v>
      </c>
    </row>
    <row r="22" spans="2:4" ht="14.25" customHeight="1">
      <c r="B22" s="9">
        <v>16</v>
      </c>
      <c r="C22" s="28" t="s">
        <v>61</v>
      </c>
      <c r="D22" s="2" t="s">
        <v>20</v>
      </c>
    </row>
    <row r="23" spans="2:4" ht="14.25" customHeight="1">
      <c r="B23" s="9">
        <v>17</v>
      </c>
      <c r="C23" s="28" t="s">
        <v>62</v>
      </c>
      <c r="D23" s="2" t="s">
        <v>21</v>
      </c>
    </row>
    <row r="24" spans="2:4" ht="14.25" customHeight="1">
      <c r="B24" s="9">
        <v>18</v>
      </c>
      <c r="C24" s="28" t="s">
        <v>63</v>
      </c>
      <c r="D24" s="2" t="s">
        <v>22</v>
      </c>
    </row>
    <row r="25" spans="2:4" ht="14.25" customHeight="1">
      <c r="B25" s="9">
        <v>19</v>
      </c>
      <c r="C25" s="28" t="s">
        <v>64</v>
      </c>
      <c r="D25" s="2" t="s">
        <v>23</v>
      </c>
    </row>
    <row r="26" spans="2:4" ht="14.25" customHeight="1">
      <c r="B26" s="9">
        <v>20</v>
      </c>
      <c r="C26" s="28" t="s">
        <v>65</v>
      </c>
      <c r="D26" s="2" t="s">
        <v>24</v>
      </c>
    </row>
    <row r="27" spans="2:4" ht="14.25" customHeight="1">
      <c r="B27" s="9">
        <v>21</v>
      </c>
      <c r="C27" s="28" t="s">
        <v>66</v>
      </c>
      <c r="D27" s="2" t="s">
        <v>25</v>
      </c>
    </row>
    <row r="28" spans="2:4" ht="14.25" customHeight="1">
      <c r="B28" s="9">
        <v>22</v>
      </c>
      <c r="C28" s="28" t="s">
        <v>67</v>
      </c>
      <c r="D28" s="2" t="s">
        <v>26</v>
      </c>
    </row>
    <row r="29" spans="2:4" ht="14.25" customHeight="1">
      <c r="B29" s="9">
        <v>23</v>
      </c>
      <c r="C29" s="28" t="s">
        <v>68</v>
      </c>
      <c r="D29" s="2" t="s">
        <v>27</v>
      </c>
    </row>
    <row r="30" spans="2:4" ht="14.25" customHeight="1">
      <c r="B30" s="9">
        <v>24</v>
      </c>
      <c r="C30" s="28" t="s">
        <v>69</v>
      </c>
      <c r="D30" s="2" t="s">
        <v>28</v>
      </c>
    </row>
    <row r="31" spans="2:4" ht="14.25" customHeight="1">
      <c r="B31" s="9">
        <v>25</v>
      </c>
      <c r="C31" s="28" t="s">
        <v>70</v>
      </c>
      <c r="D31" s="2" t="s">
        <v>29</v>
      </c>
    </row>
    <row r="32" spans="2:4" ht="14.25" customHeight="1">
      <c r="B32" s="9">
        <v>26</v>
      </c>
      <c r="C32" s="28" t="s">
        <v>71</v>
      </c>
      <c r="D32" s="2" t="s">
        <v>30</v>
      </c>
    </row>
    <row r="33" spans="2:4" ht="14.25" customHeight="1">
      <c r="B33" s="9">
        <v>27</v>
      </c>
      <c r="C33" s="28" t="s">
        <v>72</v>
      </c>
      <c r="D33" s="2" t="s">
        <v>31</v>
      </c>
    </row>
    <row r="34" spans="2:4" ht="14.25" customHeight="1" thickBot="1">
      <c r="B34" s="10">
        <v>28</v>
      </c>
      <c r="C34" s="28" t="s">
        <v>73</v>
      </c>
      <c r="D34" s="2" t="s">
        <v>32</v>
      </c>
    </row>
  </sheetData>
  <mergeCells count="2">
    <mergeCell ref="C1:D1"/>
    <mergeCell ref="A2:A5"/>
  </mergeCells>
  <phoneticPr fontId="6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showGridLines="0" zoomScaleNormal="85" workbookViewId="0">
      <pane xSplit="2" topLeftCell="C1" activePane="topRight" state="frozenSplit"/>
      <selection pane="topRight" activeCell="C4" sqref="C4"/>
    </sheetView>
  </sheetViews>
  <sheetFormatPr baseColWidth="10" defaultRowHeight="12.75"/>
  <cols>
    <col min="1" max="1" width="4.42578125" customWidth="1"/>
    <col min="2" max="2" width="32.5703125" style="12" customWidth="1"/>
    <col min="3" max="65" width="3.5703125" customWidth="1"/>
  </cols>
  <sheetData>
    <row r="1" spans="1:65" ht="23.25" thickBot="1">
      <c r="B1" s="54" t="str">
        <f>CONCATENATE('Liste élèves'!C3, " ",'Liste élèves'!D3)</f>
        <v>ECOLE Ecole I</v>
      </c>
      <c r="C1" s="184" t="s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74" t="s">
        <v>0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6"/>
    </row>
    <row r="2" spans="1:65" s="7" customFormat="1" ht="20.25" customHeight="1" thickBot="1">
      <c r="B2" s="51" t="str">
        <f>CONCATENATE('Liste élèves'!C4, " ",'Liste élèves'!D4)</f>
        <v>Classe Nom classe</v>
      </c>
      <c r="C2" s="186" t="s">
        <v>85</v>
      </c>
      <c r="D2" s="183"/>
      <c r="E2" s="181" t="s">
        <v>91</v>
      </c>
      <c r="F2" s="182"/>
      <c r="G2" s="183"/>
      <c r="H2" s="181" t="s">
        <v>92</v>
      </c>
      <c r="I2" s="183"/>
      <c r="J2" s="181" t="s">
        <v>86</v>
      </c>
      <c r="K2" s="182"/>
      <c r="L2" s="183"/>
      <c r="M2" s="181" t="s">
        <v>87</v>
      </c>
      <c r="N2" s="183"/>
      <c r="O2" s="181" t="s">
        <v>88</v>
      </c>
      <c r="P2" s="183"/>
      <c r="Q2" s="181" t="s">
        <v>89</v>
      </c>
      <c r="R2" s="183"/>
      <c r="S2" s="181" t="s">
        <v>90</v>
      </c>
      <c r="T2" s="182"/>
      <c r="U2" s="183"/>
      <c r="V2" s="61" t="s">
        <v>3</v>
      </c>
      <c r="W2" s="181" t="s">
        <v>93</v>
      </c>
      <c r="X2" s="183"/>
      <c r="Y2" s="181" t="s">
        <v>94</v>
      </c>
      <c r="Z2" s="183"/>
      <c r="AA2" s="181" t="s">
        <v>95</v>
      </c>
      <c r="AB2" s="182"/>
      <c r="AC2" s="183"/>
      <c r="AD2" s="181" t="s">
        <v>96</v>
      </c>
      <c r="AE2" s="182"/>
      <c r="AF2" s="183"/>
      <c r="AG2" s="181" t="s">
        <v>97</v>
      </c>
      <c r="AH2" s="183"/>
      <c r="AI2" s="181" t="s">
        <v>98</v>
      </c>
      <c r="AJ2" s="182"/>
      <c r="AK2" s="182"/>
      <c r="AL2" s="183"/>
      <c r="AM2" s="181" t="s">
        <v>99</v>
      </c>
      <c r="AN2" s="182"/>
      <c r="AO2" s="53" t="s">
        <v>147</v>
      </c>
      <c r="AP2" s="179" t="s">
        <v>148</v>
      </c>
      <c r="AQ2" s="179"/>
      <c r="AR2" s="179" t="s">
        <v>149</v>
      </c>
      <c r="AS2" s="179"/>
      <c r="AT2" s="179" t="s">
        <v>100</v>
      </c>
      <c r="AU2" s="179"/>
      <c r="AV2" s="69" t="s">
        <v>150</v>
      </c>
      <c r="AW2" s="179" t="s">
        <v>151</v>
      </c>
      <c r="AX2" s="179"/>
      <c r="AY2" s="179" t="s">
        <v>3</v>
      </c>
      <c r="AZ2" s="179"/>
      <c r="BA2" s="179" t="s">
        <v>101</v>
      </c>
      <c r="BB2" s="179"/>
      <c r="BC2" s="179"/>
      <c r="BD2" s="69" t="s">
        <v>102</v>
      </c>
      <c r="BE2" s="69" t="s">
        <v>152</v>
      </c>
      <c r="BF2" s="179" t="s">
        <v>153</v>
      </c>
      <c r="BG2" s="179"/>
      <c r="BH2" s="179" t="s">
        <v>154</v>
      </c>
      <c r="BI2" s="179"/>
      <c r="BJ2" s="69" t="s">
        <v>103</v>
      </c>
      <c r="BK2" s="179" t="s">
        <v>155</v>
      </c>
      <c r="BL2" s="179"/>
      <c r="BM2" s="134" t="s">
        <v>168</v>
      </c>
    </row>
    <row r="3" spans="1:65" s="1" customFormat="1" ht="16.5" customHeight="1" thickBot="1">
      <c r="A3" s="3"/>
      <c r="B3" s="15" t="s">
        <v>2</v>
      </c>
      <c r="C3" s="67">
        <v>1</v>
      </c>
      <c r="D3" s="68">
        <v>2</v>
      </c>
      <c r="E3" s="68">
        <v>3</v>
      </c>
      <c r="F3" s="68">
        <v>4</v>
      </c>
      <c r="G3" s="68">
        <v>5</v>
      </c>
      <c r="H3" s="68">
        <v>6</v>
      </c>
      <c r="I3" s="145">
        <v>7</v>
      </c>
      <c r="J3" s="68">
        <v>8</v>
      </c>
      <c r="K3" s="68">
        <v>9</v>
      </c>
      <c r="L3" s="68">
        <v>10</v>
      </c>
      <c r="M3" s="68">
        <v>11</v>
      </c>
      <c r="N3" s="68">
        <v>12</v>
      </c>
      <c r="O3" s="68">
        <v>13</v>
      </c>
      <c r="P3" s="68">
        <v>14</v>
      </c>
      <c r="Q3" s="68">
        <v>15</v>
      </c>
      <c r="R3" s="68">
        <v>16</v>
      </c>
      <c r="S3" s="68">
        <v>17</v>
      </c>
      <c r="T3" s="68">
        <v>18</v>
      </c>
      <c r="U3" s="68">
        <v>19</v>
      </c>
      <c r="V3" s="68">
        <v>20</v>
      </c>
      <c r="W3" s="68">
        <v>21</v>
      </c>
      <c r="X3" s="68">
        <v>22</v>
      </c>
      <c r="Y3" s="68">
        <v>23</v>
      </c>
      <c r="Z3" s="68">
        <v>24</v>
      </c>
      <c r="AA3" s="68">
        <v>25</v>
      </c>
      <c r="AB3" s="68">
        <v>26</v>
      </c>
      <c r="AC3" s="68">
        <v>27</v>
      </c>
      <c r="AD3" s="68">
        <v>28</v>
      </c>
      <c r="AE3" s="68">
        <v>29</v>
      </c>
      <c r="AF3" s="145">
        <v>30</v>
      </c>
      <c r="AG3" s="68">
        <v>31</v>
      </c>
      <c r="AH3" s="68">
        <v>32</v>
      </c>
      <c r="AI3" s="68">
        <v>33</v>
      </c>
      <c r="AJ3" s="68">
        <v>34</v>
      </c>
      <c r="AK3" s="68">
        <v>35</v>
      </c>
      <c r="AL3" s="68">
        <v>36</v>
      </c>
      <c r="AM3" s="68">
        <v>37</v>
      </c>
      <c r="AN3" s="123">
        <v>38</v>
      </c>
      <c r="AO3" s="131">
        <v>1</v>
      </c>
      <c r="AP3" s="132">
        <v>2</v>
      </c>
      <c r="AQ3" s="132">
        <v>3</v>
      </c>
      <c r="AR3" s="132">
        <v>4</v>
      </c>
      <c r="AS3" s="146">
        <v>5</v>
      </c>
      <c r="AT3" s="132">
        <v>6</v>
      </c>
      <c r="AU3" s="132">
        <v>7</v>
      </c>
      <c r="AV3" s="132">
        <v>8</v>
      </c>
      <c r="AW3" s="132">
        <v>9</v>
      </c>
      <c r="AX3" s="132">
        <v>10</v>
      </c>
      <c r="AY3" s="132">
        <v>11</v>
      </c>
      <c r="AZ3" s="132">
        <v>12</v>
      </c>
      <c r="BA3" s="132">
        <v>13</v>
      </c>
      <c r="BB3" s="132">
        <v>14</v>
      </c>
      <c r="BC3" s="132">
        <v>15</v>
      </c>
      <c r="BD3" s="132">
        <v>16</v>
      </c>
      <c r="BE3" s="132">
        <v>17</v>
      </c>
      <c r="BF3" s="132">
        <v>18</v>
      </c>
      <c r="BG3" s="132">
        <v>19</v>
      </c>
      <c r="BH3" s="132">
        <v>20</v>
      </c>
      <c r="BI3" s="132">
        <v>21</v>
      </c>
      <c r="BJ3" s="132">
        <v>22</v>
      </c>
      <c r="BK3" s="132">
        <v>23</v>
      </c>
      <c r="BL3" s="132">
        <v>24</v>
      </c>
      <c r="BM3" s="133">
        <v>25</v>
      </c>
    </row>
    <row r="4" spans="1:65" ht="24.75" customHeight="1">
      <c r="A4" s="4">
        <v>1</v>
      </c>
      <c r="B4" s="55" t="str">
        <f>CONCATENATE('Liste élèves'!C7," ",'Liste élèves'!D7)</f>
        <v>TEST Elève 1</v>
      </c>
      <c r="C4" s="26">
        <v>1</v>
      </c>
      <c r="D4" s="17">
        <v>1</v>
      </c>
      <c r="E4" s="17">
        <v>1</v>
      </c>
      <c r="F4" s="27" t="s">
        <v>36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9</v>
      </c>
      <c r="U4" s="27">
        <v>9</v>
      </c>
      <c r="V4" s="27">
        <v>9</v>
      </c>
      <c r="W4" s="17">
        <v>9</v>
      </c>
      <c r="X4" s="17">
        <v>1</v>
      </c>
      <c r="Y4" s="17">
        <v>1</v>
      </c>
      <c r="Z4" s="17">
        <v>1</v>
      </c>
      <c r="AA4" s="17">
        <v>1</v>
      </c>
      <c r="AB4" s="17">
        <v>1</v>
      </c>
      <c r="AC4" s="17">
        <v>1</v>
      </c>
      <c r="AD4" s="17">
        <v>1</v>
      </c>
      <c r="AE4" s="17">
        <v>1</v>
      </c>
      <c r="AF4" s="17">
        <v>1</v>
      </c>
      <c r="AG4" s="17">
        <v>1</v>
      </c>
      <c r="AH4" s="17">
        <v>9</v>
      </c>
      <c r="AI4" s="17">
        <v>1</v>
      </c>
      <c r="AJ4" s="17">
        <v>1</v>
      </c>
      <c r="AK4" s="17">
        <v>1</v>
      </c>
      <c r="AL4" s="17">
        <v>1</v>
      </c>
      <c r="AM4" s="17">
        <v>1</v>
      </c>
      <c r="AN4" s="18">
        <v>1</v>
      </c>
      <c r="AO4" s="128">
        <v>1</v>
      </c>
      <c r="AP4" s="129">
        <v>1</v>
      </c>
      <c r="AQ4" s="129">
        <v>1</v>
      </c>
      <c r="AR4" s="129">
        <v>1</v>
      </c>
      <c r="AS4" s="129">
        <v>1</v>
      </c>
      <c r="AT4" s="129">
        <v>1</v>
      </c>
      <c r="AU4" s="129">
        <v>1</v>
      </c>
      <c r="AV4" s="129">
        <v>1</v>
      </c>
      <c r="AW4" s="129">
        <v>1</v>
      </c>
      <c r="AX4" s="129">
        <v>9</v>
      </c>
      <c r="AY4" s="129">
        <v>9</v>
      </c>
      <c r="AZ4" s="129">
        <v>9</v>
      </c>
      <c r="BA4" s="129">
        <v>9</v>
      </c>
      <c r="BB4" s="129">
        <v>9</v>
      </c>
      <c r="BC4" s="129">
        <v>9</v>
      </c>
      <c r="BD4" s="129">
        <v>9</v>
      </c>
      <c r="BE4" s="129">
        <v>9</v>
      </c>
      <c r="BF4" s="129">
        <v>1</v>
      </c>
      <c r="BG4" s="129">
        <v>1</v>
      </c>
      <c r="BH4" s="129">
        <v>1</v>
      </c>
      <c r="BI4" s="129">
        <v>1</v>
      </c>
      <c r="BJ4" s="129">
        <v>9</v>
      </c>
      <c r="BK4" s="129">
        <v>1</v>
      </c>
      <c r="BL4" s="129">
        <v>9</v>
      </c>
      <c r="BM4" s="130">
        <v>1</v>
      </c>
    </row>
    <row r="5" spans="1:65" ht="24.75" customHeight="1">
      <c r="A5" s="5">
        <v>2</v>
      </c>
      <c r="B5" s="55" t="str">
        <f>CONCATENATE('Liste élèves'!C8," ",'Liste élèves'!D8)</f>
        <v>Nom2 Prénom 2</v>
      </c>
      <c r="C5" s="26"/>
      <c r="D5" s="17"/>
      <c r="E5" s="1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16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9"/>
    </row>
    <row r="6" spans="1:65" ht="24.75" customHeight="1">
      <c r="A6" s="5">
        <v>3</v>
      </c>
      <c r="B6" s="55" t="str">
        <f>CONCATENATE('Liste élèves'!C9," ",'Liste élèves'!D9)</f>
        <v>Nom3 Prénom 3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8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9"/>
    </row>
    <row r="7" spans="1:65" ht="24.75" customHeight="1">
      <c r="A7" s="5">
        <v>4</v>
      </c>
      <c r="B7" s="55" t="str">
        <f>CONCATENATE('Liste élèves'!C10," ",'Liste élèves'!D10)</f>
        <v>Nom4 Prénom 4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8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9"/>
    </row>
    <row r="8" spans="1:65" ht="24.75" customHeight="1">
      <c r="A8" s="5">
        <v>5</v>
      </c>
      <c r="B8" s="55" t="str">
        <f>CONCATENATE('Liste élèves'!C11," ",'Liste élèves'!D11)</f>
        <v>Nom5 Prénom 5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9"/>
    </row>
    <row r="9" spans="1:65" ht="24.75" customHeight="1">
      <c r="A9" s="5">
        <v>6</v>
      </c>
      <c r="B9" s="55" t="str">
        <f>CONCATENATE('Liste élèves'!C12," ",'Liste élèves'!D12)</f>
        <v>Nom6 Prénom 6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6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9"/>
    </row>
    <row r="10" spans="1:65" ht="24.75" customHeight="1">
      <c r="A10" s="5">
        <v>7</v>
      </c>
      <c r="B10" s="55" t="str">
        <f>CONCATENATE('Liste élèves'!C13," ",'Liste élèves'!D13)</f>
        <v>Nom7 Prénom 7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9"/>
    </row>
    <row r="11" spans="1:65" ht="24.75" customHeight="1">
      <c r="A11" s="5">
        <v>8</v>
      </c>
      <c r="B11" s="55" t="str">
        <f>CONCATENATE('Liste élèves'!C14," ",'Liste élèves'!D14)</f>
        <v>Nom8 Prénom 8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16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9"/>
    </row>
    <row r="12" spans="1:65" ht="24.75" customHeight="1">
      <c r="A12" s="5">
        <v>9</v>
      </c>
      <c r="B12" s="55" t="str">
        <f>CONCATENATE('Liste élèves'!C15," ",'Liste élèves'!D15)</f>
        <v>Nom9 Prénom 9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/>
      <c r="AO12" s="16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9"/>
    </row>
    <row r="13" spans="1:65" ht="24.75" customHeight="1">
      <c r="A13" s="5">
        <v>10</v>
      </c>
      <c r="B13" s="55" t="str">
        <f>CONCATENATE('Liste élèves'!C16," ",'Liste élèves'!D16)</f>
        <v>Nom10 Prénom 10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9"/>
    </row>
    <row r="14" spans="1:65" ht="24.75" customHeight="1">
      <c r="A14" s="5">
        <v>11</v>
      </c>
      <c r="B14" s="55" t="str">
        <f>CONCATENATE('Liste élèves'!C17," ",'Liste élèves'!D17)</f>
        <v>Nom11 Prénom 11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8"/>
      <c r="AO14" s="16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9"/>
    </row>
    <row r="15" spans="1:65" ht="24.75" customHeight="1">
      <c r="A15" s="5">
        <v>12</v>
      </c>
      <c r="B15" s="55" t="str">
        <f>CONCATENATE('Liste élèves'!C18," ",'Liste élèves'!D18)</f>
        <v>Nom12 Prénom 12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6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9"/>
    </row>
    <row r="16" spans="1:65" ht="24.75" customHeight="1">
      <c r="A16" s="5">
        <v>13</v>
      </c>
      <c r="B16" s="55" t="str">
        <f>CONCATENATE('Liste élèves'!C19," ",'Liste élèves'!D19)</f>
        <v>Nom13 Prénom 13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9"/>
    </row>
    <row r="17" spans="1:65" ht="24.75" customHeight="1">
      <c r="A17" s="5">
        <v>14</v>
      </c>
      <c r="B17" s="55" t="str">
        <f>CONCATENATE('Liste élèves'!C20," ",'Liste élèves'!D20)</f>
        <v>Nom14 Prénom 14</v>
      </c>
      <c r="C17" s="26"/>
      <c r="D17" s="17"/>
      <c r="E17" s="17"/>
      <c r="F17" s="1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  <c r="AO17" s="16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9"/>
    </row>
    <row r="18" spans="1:65" ht="24.75" customHeight="1">
      <c r="A18" s="5">
        <v>15</v>
      </c>
      <c r="B18" s="55" t="str">
        <f>CONCATENATE('Liste élèves'!C21," ",'Liste élèves'!D21)</f>
        <v>Nom15 Prénom 15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  <c r="AO18" s="16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9"/>
    </row>
    <row r="19" spans="1:65" ht="24.75" customHeight="1">
      <c r="A19" s="5">
        <v>16</v>
      </c>
      <c r="B19" s="55" t="str">
        <f>CONCATENATE('Liste élèves'!C22," ",'Liste élèves'!D22)</f>
        <v>Nom16 Prénom 16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  <c r="AO19" s="16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9"/>
    </row>
    <row r="20" spans="1:65" ht="24.75" customHeight="1">
      <c r="A20" s="5">
        <v>17</v>
      </c>
      <c r="B20" s="55" t="str">
        <f>CONCATENATE('Liste élèves'!C23," ",'Liste élèves'!D23)</f>
        <v>Nom17 Prénom 17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9"/>
    </row>
    <row r="21" spans="1:65" ht="24.75" customHeight="1">
      <c r="A21" s="5">
        <v>18</v>
      </c>
      <c r="B21" s="55" t="str">
        <f>CONCATENATE('Liste élèves'!C24," ",'Liste élèves'!D24)</f>
        <v>Nom18 Prénom 18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6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9"/>
    </row>
    <row r="22" spans="1:65" ht="24.75" customHeight="1">
      <c r="A22" s="5">
        <v>19</v>
      </c>
      <c r="B22" s="55" t="str">
        <f>CONCATENATE('Liste élèves'!C25," ",'Liste élèves'!D25)</f>
        <v>Nom19 Prénom 19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9"/>
    </row>
    <row r="23" spans="1:65" ht="24.75" customHeight="1">
      <c r="A23" s="5">
        <v>20</v>
      </c>
      <c r="B23" s="55" t="str">
        <f>CONCATENATE('Liste élèves'!C26," ",'Liste élèves'!D26)</f>
        <v>Nom20 Prénom 20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6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9"/>
    </row>
    <row r="24" spans="1:65" ht="24.75" customHeight="1">
      <c r="A24" s="5">
        <v>21</v>
      </c>
      <c r="B24" s="55" t="str">
        <f>CONCATENATE('Liste élèves'!C27," ",'Liste élèves'!D27)</f>
        <v>Nom21 Prénom 21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6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9"/>
    </row>
    <row r="25" spans="1:65" ht="24.75" customHeight="1">
      <c r="A25" s="5">
        <v>22</v>
      </c>
      <c r="B25" s="55" t="str">
        <f>CONCATENATE('Liste élèves'!C28," ",'Liste élèves'!D28)</f>
        <v>Nom22 Prénom 22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6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9"/>
    </row>
    <row r="26" spans="1:65" ht="24.75" customHeight="1">
      <c r="A26" s="5">
        <v>23</v>
      </c>
      <c r="B26" s="55" t="str">
        <f>CONCATENATE('Liste élèves'!C29," ",'Liste élèves'!D29)</f>
        <v>Nom23 Prénom 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6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9"/>
    </row>
    <row r="27" spans="1:65" ht="24.75" customHeight="1">
      <c r="A27" s="5">
        <v>24</v>
      </c>
      <c r="B27" s="55" t="str">
        <f>CONCATENATE('Liste élèves'!C30," ",'Liste élèves'!D30)</f>
        <v>Nom24 Prénom 24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6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9"/>
    </row>
    <row r="28" spans="1:65" ht="24.75" customHeight="1">
      <c r="A28" s="5">
        <v>25</v>
      </c>
      <c r="B28" s="55" t="str">
        <f>CONCATENATE('Liste élèves'!C31," ",'Liste élèves'!D31)</f>
        <v>Nom25 Prénom 25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O28" s="16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9"/>
    </row>
    <row r="29" spans="1:65" ht="24.75" customHeight="1">
      <c r="A29" s="5">
        <v>26</v>
      </c>
      <c r="B29" s="55" t="str">
        <f>CONCATENATE('Liste élèves'!C32," ",'Liste élèves'!D32)</f>
        <v>Nom26 Prénom 26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  <c r="AO29" s="16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9"/>
    </row>
    <row r="30" spans="1:65" ht="24.75" customHeight="1">
      <c r="A30" s="5">
        <v>27</v>
      </c>
      <c r="B30" s="55" t="str">
        <f>CONCATENATE('Liste élèves'!C33," ",'Liste élèves'!D33)</f>
        <v>Nom27 Prénom 27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6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9"/>
    </row>
    <row r="31" spans="1:65" ht="24.75" customHeight="1" thickBot="1">
      <c r="A31" s="6">
        <v>28</v>
      </c>
      <c r="B31" s="55" t="str">
        <f>CONCATENATE('Liste élèves'!C34," ",'Liste élèves'!D34)</f>
        <v>Nom28 Prénom 28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56"/>
      <c r="AI31" s="56"/>
      <c r="AJ31" s="56"/>
      <c r="AK31" s="56"/>
      <c r="AL31" s="56"/>
      <c r="AM31" s="56"/>
      <c r="AN31" s="58"/>
      <c r="AO31" s="135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136"/>
    </row>
    <row r="32" spans="1:65" ht="17.25" customHeight="1" thickBot="1">
      <c r="A32" s="41"/>
      <c r="B32" s="25"/>
      <c r="C32" s="38">
        <v>1</v>
      </c>
      <c r="D32" s="39">
        <v>2</v>
      </c>
      <c r="E32" s="39">
        <v>3</v>
      </c>
      <c r="F32" s="39">
        <v>4</v>
      </c>
      <c r="G32" s="39">
        <v>5</v>
      </c>
      <c r="H32" s="39">
        <v>6</v>
      </c>
      <c r="I32" s="39">
        <v>7</v>
      </c>
      <c r="J32" s="39">
        <v>8</v>
      </c>
      <c r="K32" s="39">
        <v>9</v>
      </c>
      <c r="L32" s="39">
        <v>10</v>
      </c>
      <c r="M32" s="39">
        <v>11</v>
      </c>
      <c r="N32" s="39">
        <v>12</v>
      </c>
      <c r="O32" s="39">
        <v>13</v>
      </c>
      <c r="P32" s="39">
        <v>14</v>
      </c>
      <c r="Q32" s="39">
        <v>15</v>
      </c>
      <c r="R32" s="39">
        <v>16</v>
      </c>
      <c r="S32" s="39">
        <v>17</v>
      </c>
      <c r="T32" s="39">
        <v>18</v>
      </c>
      <c r="U32" s="39">
        <v>19</v>
      </c>
      <c r="V32" s="39">
        <v>20</v>
      </c>
      <c r="W32" s="39">
        <v>21</v>
      </c>
      <c r="X32" s="39">
        <v>22</v>
      </c>
      <c r="Y32" s="39">
        <v>23</v>
      </c>
      <c r="Z32" s="39">
        <v>24</v>
      </c>
      <c r="AA32" s="39">
        <v>25</v>
      </c>
      <c r="AB32" s="39">
        <v>26</v>
      </c>
      <c r="AC32" s="39">
        <v>27</v>
      </c>
      <c r="AD32" s="39">
        <v>28</v>
      </c>
      <c r="AE32" s="39">
        <v>29</v>
      </c>
      <c r="AF32" s="39">
        <v>30</v>
      </c>
      <c r="AG32" s="50">
        <v>31</v>
      </c>
      <c r="AH32" s="57">
        <v>32</v>
      </c>
      <c r="AI32" s="57">
        <v>33</v>
      </c>
      <c r="AJ32" s="57">
        <v>34</v>
      </c>
      <c r="AK32" s="57">
        <v>35</v>
      </c>
      <c r="AL32" s="57">
        <v>36</v>
      </c>
      <c r="AM32" s="57">
        <v>37</v>
      </c>
      <c r="AN32" s="59">
        <v>38</v>
      </c>
      <c r="AO32" s="131">
        <v>1</v>
      </c>
      <c r="AP32" s="132">
        <v>2</v>
      </c>
      <c r="AQ32" s="132">
        <v>3</v>
      </c>
      <c r="AR32" s="132">
        <v>4</v>
      </c>
      <c r="AS32" s="132">
        <v>5</v>
      </c>
      <c r="AT32" s="132">
        <v>6</v>
      </c>
      <c r="AU32" s="132">
        <v>7</v>
      </c>
      <c r="AV32" s="132">
        <v>8</v>
      </c>
      <c r="AW32" s="132">
        <v>9</v>
      </c>
      <c r="AX32" s="132">
        <v>10</v>
      </c>
      <c r="AY32" s="132">
        <v>11</v>
      </c>
      <c r="AZ32" s="132">
        <v>12</v>
      </c>
      <c r="BA32" s="132">
        <v>13</v>
      </c>
      <c r="BB32" s="132">
        <v>14</v>
      </c>
      <c r="BC32" s="132">
        <v>15</v>
      </c>
      <c r="BD32" s="132">
        <v>16</v>
      </c>
      <c r="BE32" s="132">
        <v>17</v>
      </c>
      <c r="BF32" s="132">
        <v>18</v>
      </c>
      <c r="BG32" s="132">
        <v>19</v>
      </c>
      <c r="BH32" s="132">
        <v>20</v>
      </c>
      <c r="BI32" s="132">
        <v>21</v>
      </c>
      <c r="BJ32" s="132">
        <v>22</v>
      </c>
      <c r="BK32" s="132">
        <v>23</v>
      </c>
      <c r="BL32" s="132">
        <v>24</v>
      </c>
      <c r="BM32" s="133">
        <v>25</v>
      </c>
    </row>
    <row r="33" spans="1:65" ht="15.75" customHeight="1">
      <c r="A33" s="41"/>
      <c r="B33" s="43" t="s">
        <v>77</v>
      </c>
      <c r="C33" s="42">
        <f>COUNTIF(C4:C31,1)</f>
        <v>1</v>
      </c>
      <c r="D33" s="42">
        <f t="shared" ref="D33:BL33" si="0">COUNTIF(D4:D31,1)</f>
        <v>1</v>
      </c>
      <c r="E33" s="42">
        <f t="shared" si="0"/>
        <v>1</v>
      </c>
      <c r="F33" s="42">
        <f t="shared" si="0"/>
        <v>0</v>
      </c>
      <c r="G33" s="42">
        <f t="shared" si="0"/>
        <v>1</v>
      </c>
      <c r="H33" s="42">
        <f t="shared" si="0"/>
        <v>1</v>
      </c>
      <c r="I33" s="42">
        <f t="shared" si="0"/>
        <v>1</v>
      </c>
      <c r="J33" s="42">
        <f t="shared" si="0"/>
        <v>1</v>
      </c>
      <c r="K33" s="42">
        <f t="shared" si="0"/>
        <v>1</v>
      </c>
      <c r="L33" s="42">
        <f t="shared" si="0"/>
        <v>1</v>
      </c>
      <c r="M33" s="42">
        <f t="shared" si="0"/>
        <v>1</v>
      </c>
      <c r="N33" s="42">
        <f t="shared" si="0"/>
        <v>1</v>
      </c>
      <c r="O33" s="42">
        <f t="shared" si="0"/>
        <v>1</v>
      </c>
      <c r="P33" s="42">
        <f t="shared" si="0"/>
        <v>1</v>
      </c>
      <c r="Q33" s="42">
        <f t="shared" si="0"/>
        <v>1</v>
      </c>
      <c r="R33" s="42">
        <f t="shared" si="0"/>
        <v>1</v>
      </c>
      <c r="S33" s="42">
        <f t="shared" si="0"/>
        <v>1</v>
      </c>
      <c r="T33" s="42">
        <f t="shared" si="0"/>
        <v>0</v>
      </c>
      <c r="U33" s="42">
        <f t="shared" si="0"/>
        <v>0</v>
      </c>
      <c r="V33" s="42">
        <f t="shared" si="0"/>
        <v>0</v>
      </c>
      <c r="W33" s="42">
        <f t="shared" si="0"/>
        <v>0</v>
      </c>
      <c r="X33" s="42">
        <f t="shared" si="0"/>
        <v>1</v>
      </c>
      <c r="Y33" s="42">
        <f t="shared" si="0"/>
        <v>1</v>
      </c>
      <c r="Z33" s="42">
        <f t="shared" si="0"/>
        <v>1</v>
      </c>
      <c r="AA33" s="42">
        <f t="shared" si="0"/>
        <v>1</v>
      </c>
      <c r="AB33" s="42">
        <f t="shared" si="0"/>
        <v>1</v>
      </c>
      <c r="AC33" s="42">
        <f t="shared" si="0"/>
        <v>1</v>
      </c>
      <c r="AD33" s="42">
        <f t="shared" si="0"/>
        <v>1</v>
      </c>
      <c r="AE33" s="42">
        <f t="shared" si="0"/>
        <v>1</v>
      </c>
      <c r="AF33" s="42">
        <f t="shared" si="0"/>
        <v>1</v>
      </c>
      <c r="AG33" s="42">
        <f t="shared" si="0"/>
        <v>1</v>
      </c>
      <c r="AH33" s="42">
        <f t="shared" si="0"/>
        <v>0</v>
      </c>
      <c r="AI33" s="42">
        <f t="shared" si="0"/>
        <v>1</v>
      </c>
      <c r="AJ33" s="42">
        <f t="shared" si="0"/>
        <v>1</v>
      </c>
      <c r="AK33" s="42">
        <f t="shared" si="0"/>
        <v>1</v>
      </c>
      <c r="AL33" s="42">
        <f t="shared" si="0"/>
        <v>1</v>
      </c>
      <c r="AM33" s="42">
        <f t="shared" si="0"/>
        <v>1</v>
      </c>
      <c r="AN33" s="42">
        <f t="shared" si="0"/>
        <v>1</v>
      </c>
      <c r="AO33" s="137">
        <f t="shared" si="0"/>
        <v>1</v>
      </c>
      <c r="AP33" s="138">
        <f t="shared" si="0"/>
        <v>1</v>
      </c>
      <c r="AQ33" s="138">
        <f t="shared" si="0"/>
        <v>1</v>
      </c>
      <c r="AR33" s="138">
        <f t="shared" si="0"/>
        <v>1</v>
      </c>
      <c r="AS33" s="138">
        <f t="shared" si="0"/>
        <v>1</v>
      </c>
      <c r="AT33" s="138">
        <f t="shared" si="0"/>
        <v>1</v>
      </c>
      <c r="AU33" s="138">
        <f t="shared" si="0"/>
        <v>1</v>
      </c>
      <c r="AV33" s="138">
        <f t="shared" si="0"/>
        <v>1</v>
      </c>
      <c r="AW33" s="138">
        <f t="shared" si="0"/>
        <v>1</v>
      </c>
      <c r="AX33" s="138">
        <f t="shared" si="0"/>
        <v>0</v>
      </c>
      <c r="AY33" s="138">
        <f t="shared" si="0"/>
        <v>0</v>
      </c>
      <c r="AZ33" s="138">
        <f t="shared" si="0"/>
        <v>0</v>
      </c>
      <c r="BA33" s="138">
        <f t="shared" si="0"/>
        <v>0</v>
      </c>
      <c r="BB33" s="138">
        <f t="shared" si="0"/>
        <v>0</v>
      </c>
      <c r="BC33" s="138">
        <f t="shared" si="0"/>
        <v>0</v>
      </c>
      <c r="BD33" s="138">
        <f t="shared" si="0"/>
        <v>0</v>
      </c>
      <c r="BE33" s="138">
        <f t="shared" si="0"/>
        <v>0</v>
      </c>
      <c r="BF33" s="138">
        <f t="shared" si="0"/>
        <v>1</v>
      </c>
      <c r="BG33" s="138">
        <f t="shared" si="0"/>
        <v>1</v>
      </c>
      <c r="BH33" s="138">
        <f t="shared" si="0"/>
        <v>1</v>
      </c>
      <c r="BI33" s="138">
        <f t="shared" si="0"/>
        <v>1</v>
      </c>
      <c r="BJ33" s="138">
        <f t="shared" si="0"/>
        <v>0</v>
      </c>
      <c r="BK33" s="138">
        <f t="shared" si="0"/>
        <v>1</v>
      </c>
      <c r="BL33" s="138">
        <f t="shared" si="0"/>
        <v>0</v>
      </c>
      <c r="BM33" s="139">
        <f>COUNTIF(BM4:BM31,1)</f>
        <v>1</v>
      </c>
    </row>
    <row r="34" spans="1:65" ht="18" customHeight="1">
      <c r="A34" s="41"/>
      <c r="B34" s="43" t="s">
        <v>78</v>
      </c>
      <c r="C34" s="42">
        <f>COUNT(C4:C31)</f>
        <v>1</v>
      </c>
      <c r="D34" s="42">
        <f t="shared" ref="D34:BL34" si="1">COUNT(D4:D31)</f>
        <v>1</v>
      </c>
      <c r="E34" s="42">
        <f t="shared" si="1"/>
        <v>1</v>
      </c>
      <c r="F34" s="42">
        <f t="shared" si="1"/>
        <v>0</v>
      </c>
      <c r="G34" s="42">
        <f t="shared" si="1"/>
        <v>1</v>
      </c>
      <c r="H34" s="42">
        <f t="shared" si="1"/>
        <v>1</v>
      </c>
      <c r="I34" s="42">
        <f t="shared" si="1"/>
        <v>1</v>
      </c>
      <c r="J34" s="42">
        <f t="shared" si="1"/>
        <v>1</v>
      </c>
      <c r="K34" s="42">
        <f t="shared" si="1"/>
        <v>1</v>
      </c>
      <c r="L34" s="42">
        <f t="shared" si="1"/>
        <v>1</v>
      </c>
      <c r="M34" s="42">
        <f t="shared" si="1"/>
        <v>1</v>
      </c>
      <c r="N34" s="42">
        <f t="shared" si="1"/>
        <v>1</v>
      </c>
      <c r="O34" s="42">
        <f t="shared" si="1"/>
        <v>1</v>
      </c>
      <c r="P34" s="42">
        <f t="shared" si="1"/>
        <v>1</v>
      </c>
      <c r="Q34" s="42">
        <f t="shared" si="1"/>
        <v>1</v>
      </c>
      <c r="R34" s="42">
        <f t="shared" si="1"/>
        <v>1</v>
      </c>
      <c r="S34" s="42">
        <f t="shared" si="1"/>
        <v>1</v>
      </c>
      <c r="T34" s="42">
        <f t="shared" si="1"/>
        <v>1</v>
      </c>
      <c r="U34" s="42">
        <f t="shared" si="1"/>
        <v>1</v>
      </c>
      <c r="V34" s="42">
        <f t="shared" si="1"/>
        <v>1</v>
      </c>
      <c r="W34" s="42">
        <f t="shared" si="1"/>
        <v>1</v>
      </c>
      <c r="X34" s="42">
        <f t="shared" si="1"/>
        <v>1</v>
      </c>
      <c r="Y34" s="42">
        <f t="shared" si="1"/>
        <v>1</v>
      </c>
      <c r="Z34" s="42">
        <f t="shared" si="1"/>
        <v>1</v>
      </c>
      <c r="AA34" s="42">
        <f t="shared" si="1"/>
        <v>1</v>
      </c>
      <c r="AB34" s="42">
        <f t="shared" si="1"/>
        <v>1</v>
      </c>
      <c r="AC34" s="42">
        <f t="shared" si="1"/>
        <v>1</v>
      </c>
      <c r="AD34" s="42">
        <f t="shared" si="1"/>
        <v>1</v>
      </c>
      <c r="AE34" s="42">
        <f t="shared" si="1"/>
        <v>1</v>
      </c>
      <c r="AF34" s="42">
        <f t="shared" si="1"/>
        <v>1</v>
      </c>
      <c r="AG34" s="42">
        <f t="shared" si="1"/>
        <v>1</v>
      </c>
      <c r="AH34" s="42">
        <f t="shared" si="1"/>
        <v>1</v>
      </c>
      <c r="AI34" s="42">
        <f t="shared" si="1"/>
        <v>1</v>
      </c>
      <c r="AJ34" s="42">
        <f t="shared" si="1"/>
        <v>1</v>
      </c>
      <c r="AK34" s="42">
        <f t="shared" si="1"/>
        <v>1</v>
      </c>
      <c r="AL34" s="42">
        <f t="shared" si="1"/>
        <v>1</v>
      </c>
      <c r="AM34" s="42">
        <f t="shared" si="1"/>
        <v>1</v>
      </c>
      <c r="AN34" s="42">
        <f t="shared" si="1"/>
        <v>1</v>
      </c>
      <c r="AO34" s="125">
        <f t="shared" si="1"/>
        <v>1</v>
      </c>
      <c r="AP34" s="124">
        <f t="shared" si="1"/>
        <v>1</v>
      </c>
      <c r="AQ34" s="124">
        <f t="shared" si="1"/>
        <v>1</v>
      </c>
      <c r="AR34" s="124">
        <f t="shared" si="1"/>
        <v>1</v>
      </c>
      <c r="AS34" s="124">
        <f t="shared" si="1"/>
        <v>1</v>
      </c>
      <c r="AT34" s="124">
        <f t="shared" si="1"/>
        <v>1</v>
      </c>
      <c r="AU34" s="124">
        <f t="shared" si="1"/>
        <v>1</v>
      </c>
      <c r="AV34" s="124">
        <f t="shared" si="1"/>
        <v>1</v>
      </c>
      <c r="AW34" s="124">
        <f t="shared" si="1"/>
        <v>1</v>
      </c>
      <c r="AX34" s="124">
        <f t="shared" si="1"/>
        <v>1</v>
      </c>
      <c r="AY34" s="124">
        <f t="shared" si="1"/>
        <v>1</v>
      </c>
      <c r="AZ34" s="124">
        <f t="shared" si="1"/>
        <v>1</v>
      </c>
      <c r="BA34" s="124">
        <f t="shared" si="1"/>
        <v>1</v>
      </c>
      <c r="BB34" s="124">
        <f t="shared" si="1"/>
        <v>1</v>
      </c>
      <c r="BC34" s="124">
        <f t="shared" si="1"/>
        <v>1</v>
      </c>
      <c r="BD34" s="124">
        <f t="shared" si="1"/>
        <v>1</v>
      </c>
      <c r="BE34" s="124">
        <f t="shared" si="1"/>
        <v>1</v>
      </c>
      <c r="BF34" s="124">
        <f t="shared" si="1"/>
        <v>1</v>
      </c>
      <c r="BG34" s="124">
        <f t="shared" si="1"/>
        <v>1</v>
      </c>
      <c r="BH34" s="124">
        <f t="shared" si="1"/>
        <v>1</v>
      </c>
      <c r="BI34" s="124">
        <f t="shared" si="1"/>
        <v>1</v>
      </c>
      <c r="BJ34" s="124">
        <f t="shared" si="1"/>
        <v>1</v>
      </c>
      <c r="BK34" s="124">
        <f t="shared" si="1"/>
        <v>1</v>
      </c>
      <c r="BL34" s="124">
        <f t="shared" si="1"/>
        <v>1</v>
      </c>
      <c r="BM34" s="126">
        <f>COUNT(BM4:BM31)</f>
        <v>1</v>
      </c>
    </row>
    <row r="35" spans="1:65" ht="4.5" customHeight="1" thickBot="1">
      <c r="AO35" s="140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2"/>
    </row>
    <row r="36" spans="1:65" s="33" customFormat="1" ht="48.75" customHeight="1" thickBot="1">
      <c r="B36" s="32" t="s">
        <v>76</v>
      </c>
      <c r="C36" s="34">
        <f>IFERROR(COUNTIF(C4:C31,1)/COUNT(C4:C31),"A")</f>
        <v>1</v>
      </c>
      <c r="D36" s="35">
        <f t="shared" ref="D36:BL36" si="2">IFERROR(COUNTIF(D4:D31,1)/COUNT(D4:D31),"A")</f>
        <v>1</v>
      </c>
      <c r="E36" s="35">
        <f t="shared" si="2"/>
        <v>1</v>
      </c>
      <c r="F36" s="35" t="str">
        <f t="shared" si="2"/>
        <v>A</v>
      </c>
      <c r="G36" s="35">
        <f t="shared" si="2"/>
        <v>1</v>
      </c>
      <c r="H36" s="35">
        <f t="shared" si="2"/>
        <v>1</v>
      </c>
      <c r="I36" s="35">
        <f t="shared" si="2"/>
        <v>1</v>
      </c>
      <c r="J36" s="35">
        <f t="shared" si="2"/>
        <v>1</v>
      </c>
      <c r="K36" s="35">
        <f t="shared" si="2"/>
        <v>1</v>
      </c>
      <c r="L36" s="35">
        <f t="shared" si="2"/>
        <v>1</v>
      </c>
      <c r="M36" s="35">
        <f t="shared" si="2"/>
        <v>1</v>
      </c>
      <c r="N36" s="35">
        <f t="shared" si="2"/>
        <v>1</v>
      </c>
      <c r="O36" s="35">
        <f t="shared" si="2"/>
        <v>1</v>
      </c>
      <c r="P36" s="35">
        <f t="shared" si="2"/>
        <v>1</v>
      </c>
      <c r="Q36" s="35">
        <f t="shared" si="2"/>
        <v>1</v>
      </c>
      <c r="R36" s="35">
        <f t="shared" si="2"/>
        <v>1</v>
      </c>
      <c r="S36" s="35">
        <f t="shared" si="2"/>
        <v>1</v>
      </c>
      <c r="T36" s="35">
        <f t="shared" si="2"/>
        <v>0</v>
      </c>
      <c r="U36" s="35">
        <f t="shared" si="2"/>
        <v>0</v>
      </c>
      <c r="V36" s="35">
        <f t="shared" si="2"/>
        <v>0</v>
      </c>
      <c r="W36" s="35">
        <f t="shared" si="2"/>
        <v>0</v>
      </c>
      <c r="X36" s="35">
        <f t="shared" si="2"/>
        <v>1</v>
      </c>
      <c r="Y36" s="35">
        <f t="shared" si="2"/>
        <v>1</v>
      </c>
      <c r="Z36" s="35">
        <f t="shared" si="2"/>
        <v>1</v>
      </c>
      <c r="AA36" s="35">
        <f t="shared" si="2"/>
        <v>1</v>
      </c>
      <c r="AB36" s="35">
        <f t="shared" si="2"/>
        <v>1</v>
      </c>
      <c r="AC36" s="35">
        <f t="shared" si="2"/>
        <v>1</v>
      </c>
      <c r="AD36" s="35">
        <f t="shared" si="2"/>
        <v>1</v>
      </c>
      <c r="AE36" s="35">
        <f t="shared" si="2"/>
        <v>1</v>
      </c>
      <c r="AF36" s="35">
        <f t="shared" si="2"/>
        <v>1</v>
      </c>
      <c r="AG36" s="35">
        <f t="shared" si="2"/>
        <v>1</v>
      </c>
      <c r="AH36" s="37">
        <f t="shared" si="2"/>
        <v>0</v>
      </c>
      <c r="AI36" s="37">
        <f t="shared" si="2"/>
        <v>1</v>
      </c>
      <c r="AJ36" s="37">
        <f t="shared" si="2"/>
        <v>1</v>
      </c>
      <c r="AK36" s="37">
        <f t="shared" si="2"/>
        <v>1</v>
      </c>
      <c r="AL36" s="37">
        <f t="shared" si="2"/>
        <v>1</v>
      </c>
      <c r="AM36" s="37">
        <f t="shared" si="2"/>
        <v>1</v>
      </c>
      <c r="AN36" s="37">
        <f t="shared" si="2"/>
        <v>1</v>
      </c>
      <c r="AO36" s="34">
        <f t="shared" si="2"/>
        <v>1</v>
      </c>
      <c r="AP36" s="35">
        <f t="shared" si="2"/>
        <v>1</v>
      </c>
      <c r="AQ36" s="35">
        <f t="shared" si="2"/>
        <v>1</v>
      </c>
      <c r="AR36" s="35">
        <f t="shared" si="2"/>
        <v>1</v>
      </c>
      <c r="AS36" s="35">
        <f t="shared" si="2"/>
        <v>1</v>
      </c>
      <c r="AT36" s="35">
        <f t="shared" si="2"/>
        <v>1</v>
      </c>
      <c r="AU36" s="35">
        <f t="shared" si="2"/>
        <v>1</v>
      </c>
      <c r="AV36" s="35">
        <f t="shared" si="2"/>
        <v>1</v>
      </c>
      <c r="AW36" s="35">
        <f t="shared" si="2"/>
        <v>1</v>
      </c>
      <c r="AX36" s="35">
        <f t="shared" si="2"/>
        <v>0</v>
      </c>
      <c r="AY36" s="35">
        <f t="shared" si="2"/>
        <v>0</v>
      </c>
      <c r="AZ36" s="35">
        <f t="shared" si="2"/>
        <v>0</v>
      </c>
      <c r="BA36" s="35">
        <f t="shared" si="2"/>
        <v>0</v>
      </c>
      <c r="BB36" s="35">
        <f t="shared" si="2"/>
        <v>0</v>
      </c>
      <c r="BC36" s="35">
        <f t="shared" si="2"/>
        <v>0</v>
      </c>
      <c r="BD36" s="35">
        <f t="shared" si="2"/>
        <v>0</v>
      </c>
      <c r="BE36" s="35">
        <f t="shared" si="2"/>
        <v>0</v>
      </c>
      <c r="BF36" s="35">
        <f t="shared" si="2"/>
        <v>1</v>
      </c>
      <c r="BG36" s="35">
        <f t="shared" si="2"/>
        <v>1</v>
      </c>
      <c r="BH36" s="35">
        <f t="shared" si="2"/>
        <v>1</v>
      </c>
      <c r="BI36" s="35">
        <f t="shared" si="2"/>
        <v>1</v>
      </c>
      <c r="BJ36" s="35">
        <f t="shared" si="2"/>
        <v>0</v>
      </c>
      <c r="BK36" s="35">
        <f t="shared" si="2"/>
        <v>1</v>
      </c>
      <c r="BL36" s="35">
        <f t="shared" si="2"/>
        <v>0</v>
      </c>
      <c r="BM36" s="36">
        <f>IFERROR(COUNTIF(BM4:BM31,1)/COUNT(BM4:BM31),"A")</f>
        <v>1</v>
      </c>
    </row>
    <row r="37" spans="1:65" s="33" customFormat="1" ht="19.5" customHeight="1" thickBot="1">
      <c r="B37" s="32"/>
      <c r="C37" s="186" t="s">
        <v>85</v>
      </c>
      <c r="D37" s="183"/>
      <c r="E37" s="181" t="s">
        <v>91</v>
      </c>
      <c r="F37" s="182"/>
      <c r="G37" s="183"/>
      <c r="H37" s="181" t="s">
        <v>92</v>
      </c>
      <c r="I37" s="183"/>
      <c r="J37" s="181" t="s">
        <v>86</v>
      </c>
      <c r="K37" s="182"/>
      <c r="L37" s="183"/>
      <c r="M37" s="181" t="s">
        <v>87</v>
      </c>
      <c r="N37" s="183"/>
      <c r="O37" s="181" t="s">
        <v>88</v>
      </c>
      <c r="P37" s="183"/>
      <c r="Q37" s="181" t="s">
        <v>89</v>
      </c>
      <c r="R37" s="183"/>
      <c r="S37" s="181" t="s">
        <v>90</v>
      </c>
      <c r="T37" s="182"/>
      <c r="U37" s="183"/>
      <c r="V37" s="52" t="s">
        <v>3</v>
      </c>
      <c r="W37" s="181" t="s">
        <v>93</v>
      </c>
      <c r="X37" s="183"/>
      <c r="Y37" s="181" t="s">
        <v>94</v>
      </c>
      <c r="Z37" s="183"/>
      <c r="AA37" s="181" t="s">
        <v>95</v>
      </c>
      <c r="AB37" s="182"/>
      <c r="AC37" s="183"/>
      <c r="AD37" s="181" t="s">
        <v>96</v>
      </c>
      <c r="AE37" s="182"/>
      <c r="AF37" s="183"/>
      <c r="AG37" s="181" t="s">
        <v>97</v>
      </c>
      <c r="AH37" s="183"/>
      <c r="AI37" s="181" t="s">
        <v>98</v>
      </c>
      <c r="AJ37" s="182"/>
      <c r="AK37" s="182"/>
      <c r="AL37" s="183"/>
      <c r="AM37" s="181" t="s">
        <v>99</v>
      </c>
      <c r="AN37" s="182"/>
      <c r="AO37" s="143" t="s">
        <v>147</v>
      </c>
      <c r="AP37" s="180" t="s">
        <v>148</v>
      </c>
      <c r="AQ37" s="180"/>
      <c r="AR37" s="180" t="s">
        <v>149</v>
      </c>
      <c r="AS37" s="180"/>
      <c r="AT37" s="180" t="s">
        <v>100</v>
      </c>
      <c r="AU37" s="180"/>
      <c r="AV37" s="144" t="s">
        <v>150</v>
      </c>
      <c r="AW37" s="180" t="s">
        <v>151</v>
      </c>
      <c r="AX37" s="180"/>
      <c r="AY37" s="180" t="s">
        <v>3</v>
      </c>
      <c r="AZ37" s="180"/>
      <c r="BA37" s="180" t="s">
        <v>101</v>
      </c>
      <c r="BB37" s="180"/>
      <c r="BC37" s="180"/>
      <c r="BD37" s="144" t="s">
        <v>102</v>
      </c>
      <c r="BE37" s="144" t="s">
        <v>152</v>
      </c>
      <c r="BF37" s="180" t="s">
        <v>153</v>
      </c>
      <c r="BG37" s="180"/>
      <c r="BH37" s="180" t="s">
        <v>154</v>
      </c>
      <c r="BI37" s="180"/>
      <c r="BJ37" s="144" t="s">
        <v>103</v>
      </c>
      <c r="BK37" s="180" t="s">
        <v>155</v>
      </c>
      <c r="BL37" s="180"/>
      <c r="BM37" s="134" t="s">
        <v>168</v>
      </c>
    </row>
    <row r="38" spans="1:65" s="33" customFormat="1" ht="19.5" customHeight="1" thickBot="1">
      <c r="B38" s="32"/>
      <c r="C38" s="38">
        <v>1</v>
      </c>
      <c r="D38" s="39">
        <v>2</v>
      </c>
      <c r="E38" s="39">
        <v>3</v>
      </c>
      <c r="F38" s="39">
        <v>4</v>
      </c>
      <c r="G38" s="39">
        <v>5</v>
      </c>
      <c r="H38" s="39">
        <v>6</v>
      </c>
      <c r="I38" s="39">
        <v>7</v>
      </c>
      <c r="J38" s="39">
        <v>8</v>
      </c>
      <c r="K38" s="39">
        <v>9</v>
      </c>
      <c r="L38" s="39">
        <v>10</v>
      </c>
      <c r="M38" s="39">
        <v>11</v>
      </c>
      <c r="N38" s="39">
        <v>12</v>
      </c>
      <c r="O38" s="39">
        <v>13</v>
      </c>
      <c r="P38" s="39">
        <v>14</v>
      </c>
      <c r="Q38" s="39">
        <v>15</v>
      </c>
      <c r="R38" s="39">
        <v>16</v>
      </c>
      <c r="S38" s="39">
        <v>17</v>
      </c>
      <c r="T38" s="39">
        <v>18</v>
      </c>
      <c r="U38" s="39">
        <v>19</v>
      </c>
      <c r="V38" s="39">
        <v>20</v>
      </c>
      <c r="W38" s="39">
        <v>21</v>
      </c>
      <c r="X38" s="39">
        <v>22</v>
      </c>
      <c r="Y38" s="39">
        <v>23</v>
      </c>
      <c r="Z38" s="39">
        <v>24</v>
      </c>
      <c r="AA38" s="39">
        <v>25</v>
      </c>
      <c r="AB38" s="39">
        <v>26</v>
      </c>
      <c r="AC38" s="39">
        <v>27</v>
      </c>
      <c r="AD38" s="39">
        <v>28</v>
      </c>
      <c r="AE38" s="39">
        <v>29</v>
      </c>
      <c r="AF38" s="39">
        <v>30</v>
      </c>
      <c r="AG38" s="39">
        <v>31</v>
      </c>
      <c r="AH38" s="40">
        <v>32</v>
      </c>
      <c r="AI38" s="40">
        <v>33</v>
      </c>
      <c r="AJ38" s="40">
        <v>34</v>
      </c>
      <c r="AK38" s="40">
        <v>35</v>
      </c>
      <c r="AL38" s="40">
        <v>36</v>
      </c>
      <c r="AM38" s="40">
        <v>37</v>
      </c>
      <c r="AN38" s="50">
        <v>38</v>
      </c>
      <c r="AO38" s="131">
        <v>1</v>
      </c>
      <c r="AP38" s="132">
        <v>2</v>
      </c>
      <c r="AQ38" s="132">
        <v>3</v>
      </c>
      <c r="AR38" s="132">
        <v>4</v>
      </c>
      <c r="AS38" s="132">
        <v>5</v>
      </c>
      <c r="AT38" s="132">
        <v>6</v>
      </c>
      <c r="AU38" s="132">
        <v>7</v>
      </c>
      <c r="AV38" s="132">
        <v>8</v>
      </c>
      <c r="AW38" s="132">
        <v>9</v>
      </c>
      <c r="AX38" s="132">
        <v>10</v>
      </c>
      <c r="AY38" s="132">
        <v>11</v>
      </c>
      <c r="AZ38" s="132">
        <v>12</v>
      </c>
      <c r="BA38" s="132">
        <v>13</v>
      </c>
      <c r="BB38" s="132">
        <v>14</v>
      </c>
      <c r="BC38" s="132">
        <v>15</v>
      </c>
      <c r="BD38" s="132">
        <v>16</v>
      </c>
      <c r="BE38" s="132">
        <v>17</v>
      </c>
      <c r="BF38" s="132">
        <v>18</v>
      </c>
      <c r="BG38" s="132">
        <v>19</v>
      </c>
      <c r="BH38" s="132">
        <v>20</v>
      </c>
      <c r="BI38" s="132">
        <v>21</v>
      </c>
      <c r="BJ38" s="132">
        <v>22</v>
      </c>
      <c r="BK38" s="132">
        <v>23</v>
      </c>
      <c r="BL38" s="132">
        <v>24</v>
      </c>
      <c r="BM38" s="133">
        <v>25</v>
      </c>
    </row>
    <row r="39" spans="1:65" ht="13.5" thickBot="1"/>
    <row r="40" spans="1:65" ht="15.75" customHeight="1">
      <c r="B40" s="47" t="s">
        <v>42</v>
      </c>
      <c r="C40" s="177" t="s">
        <v>84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87">
        <f ca="1">TODAY()</f>
        <v>40303</v>
      </c>
      <c r="BI40" s="187"/>
      <c r="BJ40" s="187"/>
      <c r="BK40" s="187"/>
      <c r="BL40" s="187"/>
    </row>
    <row r="41" spans="1:65" ht="12.75" customHeight="1">
      <c r="A41" s="22">
        <v>1</v>
      </c>
      <c r="B41" s="62" t="s">
        <v>37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87"/>
      <c r="BI41" s="187"/>
      <c r="BJ41" s="187"/>
      <c r="BK41" s="187"/>
      <c r="BL41" s="187"/>
    </row>
    <row r="42" spans="1:65" ht="12.75" customHeight="1">
      <c r="A42" s="22">
        <v>4</v>
      </c>
      <c r="B42" s="62" t="s">
        <v>38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87"/>
      <c r="BI42" s="187"/>
      <c r="BJ42" s="187"/>
      <c r="BK42" s="187"/>
      <c r="BL42" s="187"/>
    </row>
    <row r="43" spans="1:65" ht="12.75" customHeight="1">
      <c r="A43" s="22">
        <v>9</v>
      </c>
      <c r="B43" s="62" t="s">
        <v>39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87"/>
      <c r="BI43" s="187"/>
      <c r="BJ43" s="187"/>
      <c r="BK43" s="187"/>
      <c r="BL43" s="187"/>
    </row>
    <row r="44" spans="1:65" ht="12.75" customHeight="1">
      <c r="A44" s="22">
        <v>0</v>
      </c>
      <c r="B44" s="62" t="s">
        <v>40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87"/>
      <c r="BI44" s="187"/>
      <c r="BJ44" s="187"/>
      <c r="BK44" s="187"/>
      <c r="BL44" s="187"/>
    </row>
    <row r="45" spans="1:65" ht="13.5" customHeight="1" thickBot="1">
      <c r="A45" s="23" t="s">
        <v>36</v>
      </c>
      <c r="B45" s="63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87"/>
      <c r="BI45" s="187"/>
      <c r="BJ45" s="187"/>
      <c r="BK45" s="187"/>
      <c r="BL45" s="187"/>
    </row>
  </sheetData>
  <mergeCells count="52">
    <mergeCell ref="Y2:Z2"/>
    <mergeCell ref="AA2:AC2"/>
    <mergeCell ref="AD2:AF2"/>
    <mergeCell ref="BH40:BL45"/>
    <mergeCell ref="C37:D37"/>
    <mergeCell ref="AG37:AH37"/>
    <mergeCell ref="Y37:Z37"/>
    <mergeCell ref="E37:G37"/>
    <mergeCell ref="H37:I37"/>
    <mergeCell ref="J37:L37"/>
    <mergeCell ref="M37:N37"/>
    <mergeCell ref="O37:P37"/>
    <mergeCell ref="C1:AN1"/>
    <mergeCell ref="E2:G2"/>
    <mergeCell ref="H2:I2"/>
    <mergeCell ref="J2:L2"/>
    <mergeCell ref="M2:N2"/>
    <mergeCell ref="O2:P2"/>
    <mergeCell ref="Q2:R2"/>
    <mergeCell ref="S2:U2"/>
    <mergeCell ref="C2:D2"/>
    <mergeCell ref="W2:X2"/>
    <mergeCell ref="AI37:AL37"/>
    <mergeCell ref="AM37:AN37"/>
    <mergeCell ref="AM2:AN2"/>
    <mergeCell ref="AI2:AL2"/>
    <mergeCell ref="Q37:R37"/>
    <mergeCell ref="S37:U37"/>
    <mergeCell ref="W37:X37"/>
    <mergeCell ref="AD37:AF37"/>
    <mergeCell ref="AA37:AC37"/>
    <mergeCell ref="AG2:AH2"/>
    <mergeCell ref="AY37:AZ37"/>
    <mergeCell ref="BF37:BG37"/>
    <mergeCell ref="BH37:BI37"/>
    <mergeCell ref="AT2:AU2"/>
    <mergeCell ref="AW2:AX2"/>
    <mergeCell ref="AY2:AZ2"/>
    <mergeCell ref="BA2:BC2"/>
    <mergeCell ref="BF2:BG2"/>
    <mergeCell ref="BH2:BI2"/>
    <mergeCell ref="BA37:BC37"/>
    <mergeCell ref="AO1:BM1"/>
    <mergeCell ref="C40:BG45"/>
    <mergeCell ref="AP2:AQ2"/>
    <mergeCell ref="AR2:AS2"/>
    <mergeCell ref="BK2:BL2"/>
    <mergeCell ref="AP37:AQ37"/>
    <mergeCell ref="AR37:AS37"/>
    <mergeCell ref="BK37:BL37"/>
    <mergeCell ref="AT37:AU37"/>
    <mergeCell ref="AW37:AX37"/>
  </mergeCells>
  <phoneticPr fontId="6" type="noConversion"/>
  <conditionalFormatting sqref="C33:BL34 C4:BL31">
    <cfRule type="cellIs" dxfId="7" priority="3" stopIfTrue="1" operator="equal">
      <formula>9</formula>
    </cfRule>
  </conditionalFormatting>
  <conditionalFormatting sqref="BM33:BM34 BM4:BM31">
    <cfRule type="cellIs" dxfId="6" priority="2" stopIfTrue="1" operator="equal">
      <formula>9</formula>
    </cfRule>
  </conditionalFormatting>
  <conditionalFormatting sqref="C36:BL36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M3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errorStyle="warning" showInputMessage="1" showErrorMessage="1" errorTitle="Erreur de saisie" error="Seules les valeurs 1, 4, 9, 0, A sont valides" sqref="C33:BM34 C4:BM31">
      <formula1>$A$41:$A$45</formula1>
    </dataValidation>
  </dataValidations>
  <pageMargins left="0.78740157499999996" right="0.56999999999999995" top="0.63" bottom="0.69" header="0.4921259845" footer="0.4921259845"/>
  <pageSetup paperSize="9" scale="51" orientation="landscape" r:id="rId1"/>
  <headerFooter alignWithMargins="0"/>
  <ignoredErrors>
    <ignoredError sqref="C36:N36 P36:AH36 C33:AH34 AO36:BK36 AO33:BK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Normal="100" workbookViewId="0">
      <selection activeCell="C2" sqref="C2"/>
    </sheetView>
  </sheetViews>
  <sheetFormatPr baseColWidth="10" defaultRowHeight="12.75"/>
  <cols>
    <col min="3" max="3" width="77.85546875" customWidth="1"/>
    <col min="4" max="4" width="15" style="64" customWidth="1"/>
    <col min="5" max="12" width="3.7109375" hidden="1" customWidth="1"/>
    <col min="13" max="13" width="10.42578125" customWidth="1"/>
    <col min="14" max="14" width="10.85546875" style="24" customWidth="1"/>
    <col min="15" max="15" width="12.140625" customWidth="1"/>
  </cols>
  <sheetData>
    <row r="1" spans="1:15" ht="78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93"/>
      <c r="O1" s="30">
        <f ca="1">TODAY()</f>
        <v>40303</v>
      </c>
    </row>
    <row r="2" spans="1:15" ht="27" customHeight="1" thickBot="1">
      <c r="A2" s="214" t="s">
        <v>45</v>
      </c>
      <c r="B2" s="215"/>
      <c r="C2" s="44" t="s">
        <v>83</v>
      </c>
      <c r="D2" s="219" t="str">
        <f>'Liste élèves'!D3</f>
        <v>Ecole I</v>
      </c>
      <c r="E2" s="220"/>
      <c r="F2" s="220"/>
      <c r="G2" s="220"/>
      <c r="H2" s="220"/>
      <c r="I2" s="220"/>
      <c r="J2" s="220"/>
      <c r="K2" s="220"/>
      <c r="L2" s="220"/>
      <c r="M2" s="220"/>
      <c r="N2" s="221" t="str">
        <f>'Liste élèves'!D4</f>
        <v>Nom classe</v>
      </c>
      <c r="O2" s="221"/>
    </row>
    <row r="3" spans="1:15" ht="21" customHeight="1" thickBot="1">
      <c r="A3" s="211"/>
      <c r="B3" s="211"/>
      <c r="C3" s="211"/>
      <c r="D3" s="46" t="s">
        <v>43</v>
      </c>
      <c r="E3" s="216" t="s">
        <v>46</v>
      </c>
      <c r="F3" s="217"/>
      <c r="G3" s="217"/>
      <c r="H3" s="217"/>
      <c r="I3" s="217"/>
      <c r="J3" s="217"/>
      <c r="K3" s="217"/>
      <c r="L3" s="218"/>
      <c r="M3" s="57" t="s">
        <v>44</v>
      </c>
      <c r="N3" s="90" t="s">
        <v>80</v>
      </c>
      <c r="O3" s="91" t="s">
        <v>81</v>
      </c>
    </row>
    <row r="4" spans="1:15" ht="23.25" customHeight="1" thickBot="1">
      <c r="A4" s="65"/>
      <c r="B4" s="199" t="s">
        <v>156</v>
      </c>
      <c r="C4" s="206" t="s">
        <v>132</v>
      </c>
      <c r="D4" s="77" t="s">
        <v>104</v>
      </c>
      <c r="E4" s="78">
        <f>VLOOKUP(ELEVE,ZONERESULTATS,2,FALSE)</f>
        <v>1</v>
      </c>
      <c r="F4" s="79">
        <f>VLOOKUP(ELEVE,ZONERESULTATS,3,FALSE)</f>
        <v>1</v>
      </c>
      <c r="G4" s="79"/>
      <c r="H4" s="79"/>
      <c r="I4" s="80"/>
      <c r="J4" s="80"/>
      <c r="K4" s="80"/>
      <c r="L4" s="85"/>
      <c r="M4" s="100">
        <f t="shared" ref="M4:M27" si="0">COUNTIF(E4:L4,1)/COUNT(E4:L4)</f>
        <v>1</v>
      </c>
      <c r="N4" s="193">
        <f>COUNTIF(E4:L5,1)/COUNT(E4:L5)</f>
        <v>1</v>
      </c>
      <c r="O4" s="196">
        <f>COUNTIF(E4:L9,1)/COUNT(E4:L9)</f>
        <v>1</v>
      </c>
    </row>
    <row r="5" spans="1:15" ht="23.25" customHeight="1" thickBot="1">
      <c r="A5" s="65"/>
      <c r="B5" s="200"/>
      <c r="C5" s="207"/>
      <c r="D5" s="76" t="s">
        <v>105</v>
      </c>
      <c r="E5" s="74">
        <f>VLOOKUP(ELEVE,ZONERESULTATS,40,FALSE)</f>
        <v>1</v>
      </c>
      <c r="F5" s="72"/>
      <c r="G5" s="71"/>
      <c r="H5" s="71"/>
      <c r="I5" s="71"/>
      <c r="J5" s="71"/>
      <c r="K5" s="71"/>
      <c r="L5" s="86"/>
      <c r="M5" s="100">
        <f t="shared" si="0"/>
        <v>1</v>
      </c>
      <c r="N5" s="195"/>
      <c r="O5" s="197"/>
    </row>
    <row r="6" spans="1:15" ht="23.25" customHeight="1" thickBot="1">
      <c r="A6" s="65"/>
      <c r="B6" s="200"/>
      <c r="C6" s="207" t="s">
        <v>133</v>
      </c>
      <c r="D6" s="75" t="s">
        <v>106</v>
      </c>
      <c r="E6" s="73">
        <f>VLOOKUP(ELEVE,ZONERESULTATS,4,FALSE)</f>
        <v>1</v>
      </c>
      <c r="F6" s="70" t="str">
        <f>VLOOKUP(ELEVE,ZONERESULTATS,5,FALSE)</f>
        <v>A</v>
      </c>
      <c r="G6" s="70">
        <f>VLOOKUP(ELEVE,ZONERESULTATS,6,FALSE)</f>
        <v>1</v>
      </c>
      <c r="H6" s="71"/>
      <c r="I6" s="71"/>
      <c r="J6" s="71"/>
      <c r="K6" s="71"/>
      <c r="L6" s="86"/>
      <c r="M6" s="100">
        <f t="shared" si="0"/>
        <v>1</v>
      </c>
      <c r="N6" s="193">
        <f>COUNTIF(E6:L7,1)/COUNT(E6:L7)</f>
        <v>1</v>
      </c>
      <c r="O6" s="197"/>
    </row>
    <row r="7" spans="1:15" ht="23.25" customHeight="1" thickBot="1">
      <c r="A7" s="65"/>
      <c r="B7" s="200"/>
      <c r="C7" s="207"/>
      <c r="D7" s="76" t="s">
        <v>107</v>
      </c>
      <c r="E7" s="74">
        <f>VLOOKUP(ELEVE,ZONERESULTATS,41,FALSE)</f>
        <v>1</v>
      </c>
      <c r="F7" s="74">
        <f>VLOOKUP(ELEVE,ZONERESULTATS,42,FALSE)</f>
        <v>1</v>
      </c>
      <c r="G7" s="71"/>
      <c r="H7" s="71"/>
      <c r="I7" s="71"/>
      <c r="J7" s="71"/>
      <c r="K7" s="71"/>
      <c r="L7" s="86"/>
      <c r="M7" s="100">
        <f t="shared" si="0"/>
        <v>1</v>
      </c>
      <c r="N7" s="195"/>
      <c r="O7" s="197"/>
    </row>
    <row r="8" spans="1:15" ht="23.25" customHeight="1" thickBot="1">
      <c r="A8" s="65"/>
      <c r="B8" s="200"/>
      <c r="C8" s="207" t="s">
        <v>169</v>
      </c>
      <c r="D8" s="75" t="s">
        <v>108</v>
      </c>
      <c r="E8" s="73">
        <f>VLOOKUP(ELEVE,ZONERESULTATS,7,FALSE)</f>
        <v>1</v>
      </c>
      <c r="F8" s="70"/>
      <c r="G8" s="71"/>
      <c r="H8" s="71"/>
      <c r="I8" s="71"/>
      <c r="J8" s="71"/>
      <c r="K8" s="71"/>
      <c r="L8" s="86"/>
      <c r="M8" s="100">
        <f t="shared" si="0"/>
        <v>1</v>
      </c>
      <c r="N8" s="193">
        <f>COUNTIF(E8:L9,1)/COUNT(E8:L9)</f>
        <v>1</v>
      </c>
      <c r="O8" s="197"/>
    </row>
    <row r="9" spans="1:15" ht="23.25" customHeight="1" thickBot="1">
      <c r="A9" s="65"/>
      <c r="B9" s="201"/>
      <c r="C9" s="208"/>
      <c r="D9" s="81" t="s">
        <v>166</v>
      </c>
      <c r="E9" s="82">
        <f>VLOOKUP(ELEVE,ZONERESULTATS,43,FALSE)</f>
        <v>1</v>
      </c>
      <c r="F9" s="82"/>
      <c r="G9" s="83"/>
      <c r="H9" s="83"/>
      <c r="I9" s="83"/>
      <c r="J9" s="83"/>
      <c r="K9" s="83"/>
      <c r="L9" s="87"/>
      <c r="M9" s="101">
        <f t="shared" si="0"/>
        <v>1</v>
      </c>
      <c r="N9" s="195"/>
      <c r="O9" s="198"/>
    </row>
    <row r="10" spans="1:15" ht="23.25" customHeight="1" thickBot="1">
      <c r="A10" s="65"/>
      <c r="B10" s="199" t="s">
        <v>157</v>
      </c>
      <c r="C10" s="212" t="s">
        <v>134</v>
      </c>
      <c r="D10" s="77" t="s">
        <v>109</v>
      </c>
      <c r="E10" s="78">
        <f>VLOOKUP(ELEVE,ZONERESULTATS,9,FALSE)</f>
        <v>1</v>
      </c>
      <c r="F10" s="79">
        <f>VLOOKUP(ELEVE,ZONERESULTATS,10,FALSE)</f>
        <v>1</v>
      </c>
      <c r="G10" s="79">
        <f>VLOOKUP(ELEVE,ZONERESULTATS,11,FALSE)</f>
        <v>1</v>
      </c>
      <c r="H10" s="80"/>
      <c r="I10" s="80"/>
      <c r="J10" s="80"/>
      <c r="K10" s="80"/>
      <c r="L10" s="88"/>
      <c r="M10" s="100">
        <f t="shared" si="0"/>
        <v>1</v>
      </c>
      <c r="N10" s="193">
        <f>COUNTIF(E10:L11,1)/COUNT(E10:L11)</f>
        <v>1</v>
      </c>
      <c r="O10" s="196">
        <f>COUNTIF(E10:L13,1)/COUNT(E10:L13)</f>
        <v>1</v>
      </c>
    </row>
    <row r="11" spans="1:15" ht="23.25" customHeight="1" thickBot="1">
      <c r="A11" s="65"/>
      <c r="B11" s="200"/>
      <c r="C11" s="204"/>
      <c r="D11" s="76" t="s">
        <v>110</v>
      </c>
      <c r="E11" s="74">
        <f>VLOOKUP(ELEVE,ZONERESULTATS,45,FALSE)</f>
        <v>1</v>
      </c>
      <c r="F11" s="74">
        <f>VLOOKUP(ELEVE,ZONERESULTATS,46,FALSE)</f>
        <v>1</v>
      </c>
      <c r="G11" s="71"/>
      <c r="H11" s="71"/>
      <c r="I11" s="71"/>
      <c r="J11" s="71"/>
      <c r="K11" s="71"/>
      <c r="L11" s="86"/>
      <c r="M11" s="100">
        <f t="shared" si="0"/>
        <v>1</v>
      </c>
      <c r="N11" s="195"/>
      <c r="O11" s="197"/>
    </row>
    <row r="12" spans="1:15" ht="23.25" customHeight="1" thickBot="1">
      <c r="A12" s="65"/>
      <c r="B12" s="200"/>
      <c r="C12" s="204" t="s">
        <v>135</v>
      </c>
      <c r="D12" s="75" t="s">
        <v>111</v>
      </c>
      <c r="E12" s="73">
        <f>VLOOKUP(ELEVE,ZONERESULTATS,12,FALSE)</f>
        <v>1</v>
      </c>
      <c r="F12" s="70">
        <f>VLOOKUP(ELEVE,ZONERESULTATS,13,FALSE)</f>
        <v>1</v>
      </c>
      <c r="G12" s="70"/>
      <c r="H12" s="71"/>
      <c r="I12" s="71"/>
      <c r="J12" s="71"/>
      <c r="K12" s="71"/>
      <c r="L12" s="86"/>
      <c r="M12" s="100">
        <f t="shared" si="0"/>
        <v>1</v>
      </c>
      <c r="N12" s="193">
        <f>COUNTIF(E12:L13,1)/COUNT(E12:L13)</f>
        <v>1</v>
      </c>
      <c r="O12" s="197"/>
    </row>
    <row r="13" spans="1:15" ht="23.25" customHeight="1" thickBot="1">
      <c r="A13" s="65"/>
      <c r="B13" s="201"/>
      <c r="C13" s="205"/>
      <c r="D13" s="81" t="s">
        <v>112</v>
      </c>
      <c r="E13" s="82">
        <f>VLOOKUP(ELEVE,ZONERESULTATS,47,FALSE)</f>
        <v>1</v>
      </c>
      <c r="F13" s="84"/>
      <c r="G13" s="84"/>
      <c r="H13" s="83"/>
      <c r="I13" s="83"/>
      <c r="J13" s="83"/>
      <c r="K13" s="83"/>
      <c r="L13" s="87"/>
      <c r="M13" s="100">
        <f t="shared" si="0"/>
        <v>1</v>
      </c>
      <c r="N13" s="195"/>
      <c r="O13" s="198"/>
    </row>
    <row r="14" spans="1:15" ht="23.25" customHeight="1" thickBot="1">
      <c r="A14" s="65"/>
      <c r="B14" s="199" t="s">
        <v>158</v>
      </c>
      <c r="C14" s="206" t="s">
        <v>145</v>
      </c>
      <c r="D14" s="77" t="s">
        <v>113</v>
      </c>
      <c r="E14" s="78">
        <f>VLOOKUP(ELEVE,ZONERESULTATS,14,FALSE)</f>
        <v>1</v>
      </c>
      <c r="F14" s="79">
        <f>VLOOKUP(ELEVE,ZONERESULTATS,15,FALSE)</f>
        <v>1</v>
      </c>
      <c r="G14" s="79"/>
      <c r="H14" s="79"/>
      <c r="I14" s="79"/>
      <c r="J14" s="79"/>
      <c r="K14" s="79"/>
      <c r="L14" s="92"/>
      <c r="M14" s="100">
        <f t="shared" si="0"/>
        <v>1</v>
      </c>
      <c r="N14" s="193">
        <f>COUNTIF(E14:L15,1)/COUNT(E14:L15)</f>
        <v>0.75</v>
      </c>
      <c r="O14" s="196">
        <f>COUNTIF(E14:L17,1)/COUNT(E14:L17)</f>
        <v>0.625</v>
      </c>
    </row>
    <row r="15" spans="1:15" ht="23.25" customHeight="1" thickBot="1">
      <c r="A15" s="65"/>
      <c r="B15" s="200"/>
      <c r="C15" s="207"/>
      <c r="D15" s="76" t="s">
        <v>114</v>
      </c>
      <c r="E15" s="74">
        <f>VLOOKUP(ELEVE,ZONERESULTATS,48,FALSE)</f>
        <v>1</v>
      </c>
      <c r="F15" s="74">
        <f>VLOOKUP(ELEVE,ZONERESULTATS,49,FALSE)</f>
        <v>9</v>
      </c>
      <c r="G15" s="72"/>
      <c r="H15" s="72"/>
      <c r="I15" s="72"/>
      <c r="J15" s="71"/>
      <c r="K15" s="71"/>
      <c r="L15" s="86"/>
      <c r="M15" s="100">
        <f t="shared" si="0"/>
        <v>0.5</v>
      </c>
      <c r="N15" s="195"/>
      <c r="O15" s="197"/>
    </row>
    <row r="16" spans="1:15" ht="23.25" customHeight="1" thickBot="1">
      <c r="A16" s="65"/>
      <c r="B16" s="200"/>
      <c r="C16" s="207" t="s">
        <v>146</v>
      </c>
      <c r="D16" s="75" t="s">
        <v>115</v>
      </c>
      <c r="E16" s="73">
        <f>VLOOKUP(ELEVE,ZONERESULTATS,16,FALSE)</f>
        <v>1</v>
      </c>
      <c r="F16" s="70">
        <f>VLOOKUP(ELEVE,ZONERESULTATS,17,FALSE)</f>
        <v>1</v>
      </c>
      <c r="G16" s="70"/>
      <c r="H16" s="70"/>
      <c r="I16" s="70"/>
      <c r="J16" s="71"/>
      <c r="K16" s="71"/>
      <c r="L16" s="86"/>
      <c r="M16" s="100">
        <f t="shared" si="0"/>
        <v>1</v>
      </c>
      <c r="N16" s="193">
        <f>COUNTIF(E16:L17,1)/COUNT(E16:L17)</f>
        <v>0.5</v>
      </c>
      <c r="O16" s="197"/>
    </row>
    <row r="17" spans="1:15" ht="23.25" customHeight="1" thickBot="1">
      <c r="A17" s="65"/>
      <c r="B17" s="201"/>
      <c r="C17" s="208"/>
      <c r="D17" s="81" t="s">
        <v>116</v>
      </c>
      <c r="E17" s="82">
        <f>VLOOKUP(ELEVE,ZONERESULTATS,50,FALSE)</f>
        <v>9</v>
      </c>
      <c r="F17" s="82">
        <f>VLOOKUP(ELEVE,ZONERESULTATS,51,FALSE)</f>
        <v>9</v>
      </c>
      <c r="G17" s="84"/>
      <c r="H17" s="84"/>
      <c r="I17" s="83"/>
      <c r="J17" s="83"/>
      <c r="K17" s="83"/>
      <c r="L17" s="87"/>
      <c r="M17" s="101">
        <f t="shared" si="0"/>
        <v>0</v>
      </c>
      <c r="N17" s="195"/>
      <c r="O17" s="198"/>
    </row>
    <row r="18" spans="1:15" ht="23.25" customHeight="1" thickBot="1">
      <c r="A18" s="65"/>
      <c r="B18" s="199" t="s">
        <v>159</v>
      </c>
      <c r="C18" s="206" t="s">
        <v>136</v>
      </c>
      <c r="D18" s="77" t="s">
        <v>117</v>
      </c>
      <c r="E18" s="78">
        <f>VLOOKUP(ELEVE,ZONERESULTATS,18,FALSE)</f>
        <v>1</v>
      </c>
      <c r="F18" s="79">
        <f>VLOOKUP(ELEVE,ZONERESULTATS,19,FALSE)</f>
        <v>9</v>
      </c>
      <c r="G18" s="79">
        <f>VLOOKUP(ELEVE,ZONERESULTATS,20,FALSE)</f>
        <v>9</v>
      </c>
      <c r="H18" s="95"/>
      <c r="I18" s="80"/>
      <c r="J18" s="80"/>
      <c r="K18" s="80"/>
      <c r="L18" s="88"/>
      <c r="M18" s="100">
        <f t="shared" si="0"/>
        <v>0.33333333333333331</v>
      </c>
      <c r="N18" s="193">
        <f>COUNTIF(E18:L19,1)/COUNT(E18:L19)</f>
        <v>0.33333333333333331</v>
      </c>
      <c r="O18" s="196">
        <f>COUNTIF(E18:L27,1)/COUNT(E18:L27)</f>
        <v>0.6</v>
      </c>
    </row>
    <row r="19" spans="1:15" ht="23.25" customHeight="1" thickBot="1">
      <c r="A19" s="65"/>
      <c r="B19" s="200"/>
      <c r="C19" s="207"/>
      <c r="D19" s="76" t="s">
        <v>118</v>
      </c>
      <c r="E19" s="74">
        <f>VLOOKUP(ELEVE,ZONERESULTATS,52,FALSE)</f>
        <v>9</v>
      </c>
      <c r="F19" s="72">
        <f>VLOOKUP(ELEVE,ZONERESULTATS,23,FALSE)</f>
        <v>1</v>
      </c>
      <c r="G19" s="72">
        <f>VLOOKUP(ELEVE,ZONERESULTATS,54,FALSE)</f>
        <v>9</v>
      </c>
      <c r="H19" s="71"/>
      <c r="I19" s="71"/>
      <c r="J19" s="71"/>
      <c r="K19" s="71"/>
      <c r="L19" s="86"/>
      <c r="M19" s="100">
        <f t="shared" si="0"/>
        <v>0.33333333333333331</v>
      </c>
      <c r="N19" s="195"/>
      <c r="O19" s="197"/>
    </row>
    <row r="20" spans="1:15" ht="23.25" customHeight="1" thickBot="1">
      <c r="A20" s="65"/>
      <c r="B20" s="200"/>
      <c r="C20" s="207" t="s">
        <v>137</v>
      </c>
      <c r="D20" s="75">
        <v>20</v>
      </c>
      <c r="E20" s="73">
        <f>VLOOKUP(ELEVE,ZONERESULTATS,21,FALSE)</f>
        <v>9</v>
      </c>
      <c r="F20" s="70"/>
      <c r="G20" s="71"/>
      <c r="H20" s="71"/>
      <c r="I20" s="71"/>
      <c r="J20" s="71"/>
      <c r="K20" s="71"/>
      <c r="L20" s="86"/>
      <c r="M20" s="100">
        <f t="shared" si="0"/>
        <v>0</v>
      </c>
      <c r="N20" s="193">
        <f>COUNTIF(E20:L21,1)/COUNT(E20:L21)</f>
        <v>0</v>
      </c>
      <c r="O20" s="197"/>
    </row>
    <row r="21" spans="1:15" ht="23.25" customHeight="1" thickBot="1">
      <c r="A21" s="65"/>
      <c r="B21" s="200"/>
      <c r="C21" s="207"/>
      <c r="D21" s="76" t="s">
        <v>119</v>
      </c>
      <c r="E21" s="74">
        <f>VLOOKUP(ELEVE,ZONERESULTATS,55,FALSE)</f>
        <v>9</v>
      </c>
      <c r="F21" s="72"/>
      <c r="G21" s="71"/>
      <c r="H21" s="71"/>
      <c r="I21" s="71"/>
      <c r="J21" s="71"/>
      <c r="K21" s="71"/>
      <c r="L21" s="86"/>
      <c r="M21" s="100">
        <f t="shared" si="0"/>
        <v>0</v>
      </c>
      <c r="N21" s="195"/>
      <c r="O21" s="197"/>
    </row>
    <row r="22" spans="1:15" ht="23.25" customHeight="1" thickBot="1">
      <c r="A22" s="65"/>
      <c r="B22" s="200"/>
      <c r="C22" s="207" t="s">
        <v>138</v>
      </c>
      <c r="D22" s="75" t="s">
        <v>120</v>
      </c>
      <c r="E22" s="73">
        <f>VLOOKUP(ELEVE,ZONERESULTATS,22,FALSE)</f>
        <v>9</v>
      </c>
      <c r="F22" s="70">
        <f>VLOOKUP(ELEVE,ZONERESULTATS,23,FALSE)</f>
        <v>1</v>
      </c>
      <c r="G22" s="71"/>
      <c r="H22" s="71"/>
      <c r="I22" s="71"/>
      <c r="J22" s="71"/>
      <c r="K22" s="71"/>
      <c r="L22" s="86"/>
      <c r="M22" s="100">
        <f t="shared" si="0"/>
        <v>0.5</v>
      </c>
      <c r="N22" s="193">
        <f>COUNTIF(E22:L23,1)/COUNT(E22:L23)</f>
        <v>0.33333333333333331</v>
      </c>
      <c r="O22" s="197"/>
    </row>
    <row r="23" spans="1:15" ht="23.25" customHeight="1" thickBot="1">
      <c r="A23" s="65"/>
      <c r="B23" s="200"/>
      <c r="C23" s="207"/>
      <c r="D23" s="76" t="s">
        <v>121</v>
      </c>
      <c r="E23" s="74">
        <f>VLOOKUP(ELEVE,ZONERESULTATS,56,FALSE)</f>
        <v>9</v>
      </c>
      <c r="F23" s="72"/>
      <c r="G23" s="71"/>
      <c r="H23" s="71"/>
      <c r="I23" s="71"/>
      <c r="J23" s="71"/>
      <c r="K23" s="71"/>
      <c r="L23" s="86"/>
      <c r="M23" s="100">
        <f t="shared" si="0"/>
        <v>0</v>
      </c>
      <c r="N23" s="195"/>
      <c r="O23" s="197"/>
    </row>
    <row r="24" spans="1:15" ht="23.25" customHeight="1" thickBot="1">
      <c r="A24" s="65"/>
      <c r="B24" s="200"/>
      <c r="C24" s="207" t="s">
        <v>139</v>
      </c>
      <c r="D24" s="75" t="s">
        <v>122</v>
      </c>
      <c r="E24" s="73">
        <f>VLOOKUP(ELEVE,ZONERESULTATS,24,FALSE)</f>
        <v>1</v>
      </c>
      <c r="F24" s="70">
        <f>VLOOKUP(ELEVE,ZONERESULTATS,25,FALSE)</f>
        <v>1</v>
      </c>
      <c r="G24" s="71"/>
      <c r="H24" s="71"/>
      <c r="I24" s="71"/>
      <c r="J24" s="71"/>
      <c r="K24" s="71"/>
      <c r="L24" s="86"/>
      <c r="M24" s="100">
        <f t="shared" si="0"/>
        <v>1</v>
      </c>
      <c r="N24" s="193">
        <f>COUNTIF(E24:L25,1)/COUNT(E24:L25)</f>
        <v>1</v>
      </c>
      <c r="O24" s="197"/>
    </row>
    <row r="25" spans="1:15" ht="23.25" customHeight="1" thickBot="1">
      <c r="A25" s="65"/>
      <c r="B25" s="200"/>
      <c r="C25" s="207"/>
      <c r="D25" s="76" t="s">
        <v>123</v>
      </c>
      <c r="E25" s="74">
        <f>VLOOKUP(ELEVE,ZONERESULTATS,57,FALSE)</f>
        <v>1</v>
      </c>
      <c r="F25" s="72">
        <f>VLOOKUP(ELEVE,ZONERESULTATS,58,FALSE)</f>
        <v>1</v>
      </c>
      <c r="G25" s="71"/>
      <c r="H25" s="71"/>
      <c r="I25" s="71"/>
      <c r="J25" s="71"/>
      <c r="K25" s="71"/>
      <c r="L25" s="86"/>
      <c r="M25" s="100">
        <f t="shared" si="0"/>
        <v>1</v>
      </c>
      <c r="N25" s="195"/>
      <c r="O25" s="197"/>
    </row>
    <row r="26" spans="1:15" ht="23.25" customHeight="1" thickBot="1">
      <c r="A26" s="65"/>
      <c r="B26" s="200"/>
      <c r="C26" s="207" t="s">
        <v>140</v>
      </c>
      <c r="D26" s="75" t="s">
        <v>124</v>
      </c>
      <c r="E26" s="73">
        <f>VLOOKUP(ELEVE,ZONERESULTATS,26,FALSE)</f>
        <v>1</v>
      </c>
      <c r="F26" s="70">
        <f>VLOOKUP(ELEVE,ZONERESULTATS,27,FALSE)</f>
        <v>1</v>
      </c>
      <c r="G26" s="70">
        <f>VLOOKUP(ELEVE,ZONERESULTATS,28,FALSE)</f>
        <v>1</v>
      </c>
      <c r="H26" s="71"/>
      <c r="I26" s="71"/>
      <c r="J26" s="71"/>
      <c r="K26" s="71"/>
      <c r="L26" s="86"/>
      <c r="M26" s="100">
        <f t="shared" si="0"/>
        <v>1</v>
      </c>
      <c r="N26" s="193">
        <f>COUNTIF(E26:L27,1)/COUNT(E26:L27)</f>
        <v>1</v>
      </c>
      <c r="O26" s="197"/>
    </row>
    <row r="27" spans="1:15" ht="23.25" customHeight="1" thickBot="1">
      <c r="A27" s="65"/>
      <c r="B27" s="201"/>
      <c r="C27" s="208"/>
      <c r="D27" s="81" t="s">
        <v>125</v>
      </c>
      <c r="E27" s="82">
        <f>VLOOKUP(ELEVE,ZONERESULTATS,59,FALSE)</f>
        <v>1</v>
      </c>
      <c r="F27" s="84">
        <f>VLOOKUP(ELEVE,ZONERESULTATS,60,FALSE)</f>
        <v>1</v>
      </c>
      <c r="G27" s="83"/>
      <c r="H27" s="83"/>
      <c r="I27" s="83"/>
      <c r="J27" s="83"/>
      <c r="K27" s="83"/>
      <c r="L27" s="87"/>
      <c r="M27" s="101">
        <f t="shared" si="0"/>
        <v>1</v>
      </c>
      <c r="N27" s="195"/>
      <c r="O27" s="198"/>
    </row>
    <row r="28" spans="1:15" ht="23.25" customHeight="1" thickBot="1">
      <c r="A28" s="66"/>
      <c r="B28" s="202" t="s">
        <v>162</v>
      </c>
      <c r="C28" s="206" t="s">
        <v>141</v>
      </c>
      <c r="D28" s="77" t="s">
        <v>126</v>
      </c>
      <c r="E28" s="78">
        <f>VLOOKUP(ELEVE,ZONERESULTATS,29,FALSE)</f>
        <v>1</v>
      </c>
      <c r="F28" s="79">
        <f>VLOOKUP(ELEVE,ZONERESULTATS,30,FALSE)</f>
        <v>1</v>
      </c>
      <c r="G28" s="79"/>
      <c r="H28" s="97"/>
      <c r="I28" s="97"/>
      <c r="J28" s="97"/>
      <c r="K28" s="97"/>
      <c r="L28" s="85"/>
      <c r="M28" s="100">
        <f t="shared" ref="M28:M34" si="1">COUNTIF(E28:L28,1)/COUNT(E28:L28)</f>
        <v>1</v>
      </c>
      <c r="N28" s="193">
        <f>COUNTIF(E28:L29,1)/COUNT(E28:L29)</f>
        <v>0.66666666666666663</v>
      </c>
      <c r="O28" s="193">
        <f>N28</f>
        <v>0.66666666666666663</v>
      </c>
    </row>
    <row r="29" spans="1:15" ht="23.25" customHeight="1" thickBot="1">
      <c r="A29" s="66"/>
      <c r="B29" s="203"/>
      <c r="C29" s="210"/>
      <c r="D29" s="81" t="s">
        <v>127</v>
      </c>
      <c r="E29" s="82">
        <f>VLOOKUP(ELEVE,ZONERESULTATS,61,FALSE)</f>
        <v>9</v>
      </c>
      <c r="F29" s="48"/>
      <c r="G29" s="48"/>
      <c r="H29" s="48"/>
      <c r="I29" s="48"/>
      <c r="J29" s="48"/>
      <c r="K29" s="48"/>
      <c r="L29" s="99"/>
      <c r="M29" s="101">
        <f t="shared" si="1"/>
        <v>0</v>
      </c>
      <c r="N29" s="195"/>
      <c r="O29" s="195"/>
    </row>
    <row r="30" spans="1:15" ht="23.25" customHeight="1" thickBot="1">
      <c r="A30" s="66"/>
      <c r="B30" s="188" t="s">
        <v>160</v>
      </c>
      <c r="C30" s="209" t="s">
        <v>142</v>
      </c>
      <c r="D30" s="168" t="s">
        <v>128</v>
      </c>
      <c r="E30" s="78">
        <f>VLOOKUP(ELEVE,ZONERESULTATS,32,FALSE)</f>
        <v>1</v>
      </c>
      <c r="F30" s="79">
        <f>VLOOKUP(ELEVE,ZONERESULTATS,33,FALSE)</f>
        <v>9</v>
      </c>
      <c r="G30" s="97"/>
      <c r="H30" s="97"/>
      <c r="I30" s="97"/>
      <c r="J30" s="97"/>
      <c r="K30" s="97"/>
      <c r="L30" s="85"/>
      <c r="M30" s="100">
        <f t="shared" si="1"/>
        <v>0.5</v>
      </c>
      <c r="N30" s="193">
        <f>COUNTIF(E30:L31,1)/COUNT(E30:L31)</f>
        <v>0.5</v>
      </c>
      <c r="O30" s="193">
        <f>COUNTIF(E30:L33,1)/COUNT(E30:L33)</f>
        <v>0.66666666666666663</v>
      </c>
    </row>
    <row r="31" spans="1:15" ht="23.25" customHeight="1" thickBot="1">
      <c r="A31" s="66"/>
      <c r="B31" s="189"/>
      <c r="C31" s="191"/>
      <c r="D31" s="169" t="s">
        <v>129</v>
      </c>
      <c r="E31" s="74">
        <f>VLOOKUP(ELEVE,ZONERESULTATS,62,FALSE)</f>
        <v>1</v>
      </c>
      <c r="F31" s="72">
        <f>VLOOKUP(ELEVE,ZONERESULTATS,63,FALSE)</f>
        <v>9</v>
      </c>
      <c r="G31" s="60"/>
      <c r="H31" s="2"/>
      <c r="I31" s="2"/>
      <c r="J31" s="2"/>
      <c r="K31" s="2"/>
      <c r="L31" s="89"/>
      <c r="M31" s="100">
        <f t="shared" si="1"/>
        <v>0.5</v>
      </c>
      <c r="N31" s="195"/>
      <c r="O31" s="194"/>
    </row>
    <row r="32" spans="1:15" ht="23.25" customHeight="1">
      <c r="A32" s="66"/>
      <c r="B32" s="189"/>
      <c r="C32" s="191" t="s">
        <v>143</v>
      </c>
      <c r="D32" s="170" t="s">
        <v>130</v>
      </c>
      <c r="E32" s="73">
        <f>VLOOKUP(ELEVE,ZONERESULTATS,34,FALSE)</f>
        <v>1</v>
      </c>
      <c r="F32" s="70">
        <f>VLOOKUP(ELEVE,ZONERESULTATS,35,FALSE)</f>
        <v>1</v>
      </c>
      <c r="G32" s="70">
        <f>VLOOKUP(ELEVE,ZONERESULTATS,36,FALSE)</f>
        <v>1</v>
      </c>
      <c r="H32" s="70">
        <f>VLOOKUP(ELEVE,ZONERESULTATS,37,FALSE)</f>
        <v>1</v>
      </c>
      <c r="I32" s="2"/>
      <c r="J32" s="2"/>
      <c r="K32" s="2"/>
      <c r="L32" s="89"/>
      <c r="M32" s="102">
        <f t="shared" si="1"/>
        <v>1</v>
      </c>
      <c r="N32" s="102">
        <f>M32</f>
        <v>1</v>
      </c>
      <c r="O32" s="194"/>
    </row>
    <row r="33" spans="1:15" ht="23.25" customHeight="1" thickBot="1">
      <c r="A33" s="66"/>
      <c r="B33" s="190"/>
      <c r="C33" s="192"/>
      <c r="D33" s="171" t="s">
        <v>167</v>
      </c>
      <c r="E33" s="82">
        <f>VLOOKUP(ELEVE,ZONERESULTATS,63,FALSE)</f>
        <v>9</v>
      </c>
      <c r="F33" s="98"/>
      <c r="G33" s="98"/>
      <c r="H33" s="98"/>
      <c r="I33" s="48"/>
      <c r="J33" s="48"/>
      <c r="K33" s="48"/>
      <c r="L33" s="99"/>
      <c r="M33" s="150">
        <f>COUNTIF(E33:L33,1)/COUNT(E33:L33)</f>
        <v>0</v>
      </c>
      <c r="N33" s="150">
        <f>M33</f>
        <v>0</v>
      </c>
      <c r="O33" s="195"/>
    </row>
    <row r="34" spans="1:15" ht="23.25" customHeight="1" thickBot="1">
      <c r="A34" s="66"/>
      <c r="B34" s="165" t="s">
        <v>161</v>
      </c>
      <c r="C34" s="167" t="s">
        <v>144</v>
      </c>
      <c r="D34" s="156" t="s">
        <v>131</v>
      </c>
      <c r="E34" s="163">
        <f>VLOOKUP(ELEVE,ZONERESULTATS,38,FALSE)</f>
        <v>1</v>
      </c>
      <c r="F34" s="157">
        <f>VLOOKUP(ELEVE,ZONERESULTATS,39,FALSE)</f>
        <v>1</v>
      </c>
      <c r="G34" s="158"/>
      <c r="H34" s="158"/>
      <c r="I34" s="158"/>
      <c r="J34" s="158"/>
      <c r="K34" s="158"/>
      <c r="L34" s="159"/>
      <c r="M34" s="103">
        <f t="shared" si="1"/>
        <v>1</v>
      </c>
      <c r="N34" s="103">
        <f>M34</f>
        <v>1</v>
      </c>
      <c r="O34" s="166">
        <f>M34</f>
        <v>1</v>
      </c>
    </row>
    <row r="35" spans="1:15" ht="12.75" customHeight="1"/>
  </sheetData>
  <dataConsolidate function="count"/>
  <mergeCells count="47">
    <mergeCell ref="A1:M1"/>
    <mergeCell ref="C20:C21"/>
    <mergeCell ref="N28:N29"/>
    <mergeCell ref="O28:O29"/>
    <mergeCell ref="A2:B2"/>
    <mergeCell ref="E3:L3"/>
    <mergeCell ref="N4:N5"/>
    <mergeCell ref="N6:N7"/>
    <mergeCell ref="D2:M2"/>
    <mergeCell ref="N2:O2"/>
    <mergeCell ref="O18:O27"/>
    <mergeCell ref="A3:C3"/>
    <mergeCell ref="C4:C5"/>
    <mergeCell ref="C6:C7"/>
    <mergeCell ref="N24:N25"/>
    <mergeCell ref="C22:C23"/>
    <mergeCell ref="B4:B9"/>
    <mergeCell ref="C8:C9"/>
    <mergeCell ref="C10:C11"/>
    <mergeCell ref="B10:B13"/>
    <mergeCell ref="B14:B17"/>
    <mergeCell ref="B18:B27"/>
    <mergeCell ref="B28:B29"/>
    <mergeCell ref="C12:C13"/>
    <mergeCell ref="C14:C15"/>
    <mergeCell ref="C26:C27"/>
    <mergeCell ref="C24:C25"/>
    <mergeCell ref="C16:C17"/>
    <mergeCell ref="C18:C19"/>
    <mergeCell ref="N10:N11"/>
    <mergeCell ref="O4:O9"/>
    <mergeCell ref="O10:O13"/>
    <mergeCell ref="N16:N17"/>
    <mergeCell ref="O14:O17"/>
    <mergeCell ref="N8:N9"/>
    <mergeCell ref="N14:N15"/>
    <mergeCell ref="N12:N13"/>
    <mergeCell ref="B30:B33"/>
    <mergeCell ref="C32:C33"/>
    <mergeCell ref="O30:O33"/>
    <mergeCell ref="N18:N19"/>
    <mergeCell ref="N20:N21"/>
    <mergeCell ref="N22:N23"/>
    <mergeCell ref="N26:N27"/>
    <mergeCell ref="N30:N31"/>
    <mergeCell ref="C30:C31"/>
    <mergeCell ref="C28:C29"/>
  </mergeCells>
  <phoneticPr fontId="6" type="noConversion"/>
  <conditionalFormatting sqref="M4:N34 O4:O30 O34">
    <cfRule type="cellIs" dxfId="5" priority="4" stopIfTrue="1" operator="between">
      <formula>0</formula>
      <formula>0.33</formula>
    </cfRule>
    <cfRule type="cellIs" dxfId="4" priority="5" stopIfTrue="1" operator="between">
      <formula>0.33</formula>
      <formula>0.66</formula>
    </cfRule>
    <cfRule type="cellIs" dxfId="3" priority="6" stopIfTrue="1" operator="greaterThan">
      <formula>0.66</formula>
    </cfRule>
  </conditionalFormatting>
  <dataValidations count="1">
    <dataValidation type="list" allowBlank="1" showInputMessage="1" showErrorMessage="1" sqref="C2">
      <formula1>'Saisie résultats'!$B$4:$B$31</formula1>
    </dataValidation>
  </dataValidations>
  <printOptions horizontalCentered="1" verticalCentered="1"/>
  <pageMargins left="0.34" right="0.35" top="0.43" bottom="0.48" header="0.24" footer="0.38"/>
  <pageSetup paperSize="9" scale="66" orientation="portrait" r:id="rId1"/>
  <headerFooter alignWithMargins="0"/>
  <cellWatches>
    <cellWatch r="E4"/>
  </cellWatche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="85" zoomScaleNormal="100" workbookViewId="0">
      <selection sqref="A1:N1"/>
    </sheetView>
  </sheetViews>
  <sheetFormatPr baseColWidth="10" defaultRowHeight="12.75"/>
  <cols>
    <col min="2" max="2" width="13.7109375" customWidth="1"/>
    <col min="3" max="3" width="81.28515625" customWidth="1"/>
    <col min="4" max="4" width="16.85546875" customWidth="1"/>
    <col min="5" max="13" width="5.140625" hidden="1" customWidth="1"/>
    <col min="14" max="14" width="13.28515625" customWidth="1"/>
    <col min="15" max="15" width="10.85546875" style="24" customWidth="1"/>
    <col min="16" max="16" width="12.140625" customWidth="1"/>
  </cols>
  <sheetData>
    <row r="1" spans="1:16" ht="78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9" t="s">
        <v>75</v>
      </c>
      <c r="P1" s="30">
        <f ca="1">TODAY()</f>
        <v>40303</v>
      </c>
    </row>
    <row r="2" spans="1:16" ht="27" customHeight="1" thickBot="1">
      <c r="A2" s="214"/>
      <c r="B2" s="215"/>
      <c r="C2" s="45" t="str">
        <f>CONCATENATE("Synthèse classe",'Liste élèves'!D4," ",'Liste élèves'!D3)</f>
        <v>Synthèse classeNom classe Ecole I</v>
      </c>
    </row>
    <row r="3" spans="1:16" ht="23.25" customHeight="1" thickBot="1">
      <c r="A3" s="211"/>
      <c r="B3" s="211"/>
      <c r="C3" s="211"/>
      <c r="D3" s="122" t="s">
        <v>43</v>
      </c>
      <c r="E3" s="234" t="s">
        <v>79</v>
      </c>
      <c r="F3" s="235"/>
      <c r="G3" s="235"/>
      <c r="H3" s="235"/>
      <c r="I3" s="236"/>
      <c r="J3" s="237" t="s">
        <v>165</v>
      </c>
      <c r="K3" s="235"/>
      <c r="L3" s="235"/>
      <c r="M3" s="236"/>
      <c r="N3" s="111" t="s">
        <v>44</v>
      </c>
      <c r="O3" s="115" t="s">
        <v>80</v>
      </c>
      <c r="P3" s="49" t="s">
        <v>81</v>
      </c>
    </row>
    <row r="4" spans="1:16" ht="23.25" customHeight="1">
      <c r="A4" s="65"/>
      <c r="B4" s="199" t="s">
        <v>156</v>
      </c>
      <c r="C4" s="206" t="s">
        <v>132</v>
      </c>
      <c r="D4" s="104" t="s">
        <v>104</v>
      </c>
      <c r="E4" s="113">
        <f>'Saisie résultats'!C33</f>
        <v>1</v>
      </c>
      <c r="F4" s="79">
        <f>'Saisie résultats'!D33</f>
        <v>1</v>
      </c>
      <c r="G4" s="97"/>
      <c r="H4" s="97"/>
      <c r="I4" s="85"/>
      <c r="J4" s="112">
        <f>'Saisie résultats'!C34</f>
        <v>1</v>
      </c>
      <c r="K4" s="80">
        <f>'Saisie résultats'!D34</f>
        <v>1</v>
      </c>
      <c r="L4" s="97"/>
      <c r="M4" s="88"/>
      <c r="N4" s="117">
        <f t="shared" ref="N4:N24" si="0">SUM(E4:I4)/SUM(J4:M4)</f>
        <v>1</v>
      </c>
      <c r="O4" s="232">
        <f>SUM(E4:I5)/SUM(J4:M5)</f>
        <v>1</v>
      </c>
      <c r="P4" s="239">
        <f>SUM(E4:I9)/SUM(J4:M9)</f>
        <v>1</v>
      </c>
    </row>
    <row r="5" spans="1:16" ht="23.25" customHeight="1">
      <c r="A5" s="65"/>
      <c r="B5" s="200"/>
      <c r="C5" s="207"/>
      <c r="D5" s="94" t="s">
        <v>105</v>
      </c>
      <c r="E5" s="109">
        <f>'Saisie résultats'!AO33</f>
        <v>1</v>
      </c>
      <c r="F5" s="2"/>
      <c r="G5" s="2"/>
      <c r="H5" s="71"/>
      <c r="I5" s="86"/>
      <c r="J5" s="108">
        <f>'Saisie résultats'!AO34</f>
        <v>1</v>
      </c>
      <c r="K5" s="2"/>
      <c r="L5" s="71"/>
      <c r="M5" s="86"/>
      <c r="N5" s="118">
        <f t="shared" si="0"/>
        <v>1</v>
      </c>
      <c r="O5" s="231"/>
      <c r="P5" s="240"/>
    </row>
    <row r="6" spans="1:16" ht="23.25" customHeight="1">
      <c r="A6" s="65"/>
      <c r="B6" s="200"/>
      <c r="C6" s="207" t="s">
        <v>133</v>
      </c>
      <c r="D6" s="105" t="s">
        <v>106</v>
      </c>
      <c r="E6" s="110">
        <f>'Saisie résultats'!E33</f>
        <v>1</v>
      </c>
      <c r="F6" s="70">
        <f>'Saisie résultats'!F33</f>
        <v>0</v>
      </c>
      <c r="G6" s="70">
        <f>'Saisie résultats'!G33</f>
        <v>1</v>
      </c>
      <c r="H6" s="2"/>
      <c r="I6" s="89"/>
      <c r="J6" s="108">
        <f>'Saisie résultats'!E34</f>
        <v>1</v>
      </c>
      <c r="K6" s="71">
        <f>'Saisie résultats'!F34</f>
        <v>0</v>
      </c>
      <c r="L6" s="71">
        <f>'Saisie résultats'!G34</f>
        <v>1</v>
      </c>
      <c r="M6" s="89"/>
      <c r="N6" s="118">
        <f t="shared" si="0"/>
        <v>1</v>
      </c>
      <c r="O6" s="231">
        <f>SUM(E6:I7)/SUM(J6:M7)</f>
        <v>1</v>
      </c>
      <c r="P6" s="240"/>
    </row>
    <row r="7" spans="1:16" ht="23.25" customHeight="1">
      <c r="A7" s="65"/>
      <c r="B7" s="200"/>
      <c r="C7" s="207"/>
      <c r="D7" s="94" t="s">
        <v>107</v>
      </c>
      <c r="E7" s="109">
        <f>'Saisie résultats'!AP33</f>
        <v>1</v>
      </c>
      <c r="F7" s="72">
        <f>'Saisie résultats'!AQ33</f>
        <v>1</v>
      </c>
      <c r="G7" s="2"/>
      <c r="H7" s="2"/>
      <c r="I7" s="86"/>
      <c r="J7" s="108">
        <f>'Saisie résultats'!AP34</f>
        <v>1</v>
      </c>
      <c r="K7" s="71">
        <f>'Saisie résultats'!AQ34</f>
        <v>1</v>
      </c>
      <c r="L7" s="2"/>
      <c r="M7" s="86"/>
      <c r="N7" s="118">
        <f t="shared" si="0"/>
        <v>1</v>
      </c>
      <c r="O7" s="231"/>
      <c r="P7" s="240"/>
    </row>
    <row r="8" spans="1:16" ht="23.25" customHeight="1">
      <c r="A8" s="65"/>
      <c r="B8" s="200"/>
      <c r="C8" s="207" t="s">
        <v>169</v>
      </c>
      <c r="D8" s="105" t="s">
        <v>108</v>
      </c>
      <c r="E8" s="110">
        <f>'Saisie résultats'!H33</f>
        <v>1</v>
      </c>
      <c r="F8" s="70"/>
      <c r="G8" s="2"/>
      <c r="H8" s="71"/>
      <c r="I8" s="86"/>
      <c r="J8" s="108">
        <f>'Saisie résultats'!H34</f>
        <v>1</v>
      </c>
      <c r="K8" s="71"/>
      <c r="L8" s="2"/>
      <c r="M8" s="86"/>
      <c r="N8" s="118">
        <f t="shared" si="0"/>
        <v>1</v>
      </c>
      <c r="O8" s="231">
        <f>SUM(E8:I9)/SUM(J8:M9)</f>
        <v>1</v>
      </c>
      <c r="P8" s="240"/>
    </row>
    <row r="9" spans="1:16" ht="23.25" customHeight="1" thickBot="1">
      <c r="A9" s="65"/>
      <c r="B9" s="201"/>
      <c r="C9" s="208"/>
      <c r="D9" s="96" t="s">
        <v>166</v>
      </c>
      <c r="E9" s="116">
        <f>'Saisie résultats'!AR33</f>
        <v>1</v>
      </c>
      <c r="F9" s="84"/>
      <c r="G9" s="48"/>
      <c r="H9" s="83"/>
      <c r="I9" s="87"/>
      <c r="J9" s="114">
        <f>'Saisie résultats'!AR34</f>
        <v>1</v>
      </c>
      <c r="K9" s="83"/>
      <c r="L9" s="48"/>
      <c r="M9" s="87"/>
      <c r="N9" s="119">
        <f t="shared" si="0"/>
        <v>1</v>
      </c>
      <c r="O9" s="233"/>
      <c r="P9" s="241"/>
    </row>
    <row r="10" spans="1:16" ht="23.25" customHeight="1">
      <c r="A10" s="65"/>
      <c r="B10" s="199" t="s">
        <v>157</v>
      </c>
      <c r="C10" s="212" t="s">
        <v>134</v>
      </c>
      <c r="D10" s="104" t="s">
        <v>109</v>
      </c>
      <c r="E10" s="113">
        <f>'Saisie résultats'!J33</f>
        <v>1</v>
      </c>
      <c r="F10" s="79">
        <f>'Saisie résultats'!K33</f>
        <v>1</v>
      </c>
      <c r="G10" s="79">
        <f>'Saisie résultats'!L33</f>
        <v>1</v>
      </c>
      <c r="H10" s="97"/>
      <c r="I10" s="88"/>
      <c r="J10" s="112">
        <f>'Saisie résultats'!J34</f>
        <v>1</v>
      </c>
      <c r="K10" s="80">
        <f>'Saisie résultats'!K34</f>
        <v>1</v>
      </c>
      <c r="L10" s="80">
        <f>'Saisie résultats'!L34</f>
        <v>1</v>
      </c>
      <c r="M10" s="85"/>
      <c r="N10" s="117">
        <f t="shared" si="0"/>
        <v>1</v>
      </c>
      <c r="O10" s="232">
        <f>SUM(E10:I11)/SUM(J10:M11)</f>
        <v>1</v>
      </c>
      <c r="P10" s="239">
        <f>SUM(E10:I13)/SUM(J10:M13)</f>
        <v>1</v>
      </c>
    </row>
    <row r="11" spans="1:16" ht="23.25" customHeight="1">
      <c r="A11" s="65"/>
      <c r="B11" s="200"/>
      <c r="C11" s="204"/>
      <c r="D11" s="94" t="s">
        <v>110</v>
      </c>
      <c r="E11" s="109">
        <f>'Saisie résultats'!AT33</f>
        <v>1</v>
      </c>
      <c r="F11" s="72">
        <f>'Saisie résultats'!AU33</f>
        <v>1</v>
      </c>
      <c r="G11" s="2"/>
      <c r="H11" s="71"/>
      <c r="I11" s="86"/>
      <c r="J11" s="108">
        <f>'Saisie résultats'!AT34</f>
        <v>1</v>
      </c>
      <c r="K11" s="71">
        <f>'Saisie résultats'!AU34</f>
        <v>1</v>
      </c>
      <c r="L11" s="2"/>
      <c r="M11" s="86"/>
      <c r="N11" s="118">
        <f t="shared" si="0"/>
        <v>1</v>
      </c>
      <c r="O11" s="231"/>
      <c r="P11" s="240"/>
    </row>
    <row r="12" spans="1:16" ht="23.25" customHeight="1">
      <c r="A12" s="65"/>
      <c r="B12" s="200"/>
      <c r="C12" s="204" t="s">
        <v>135</v>
      </c>
      <c r="D12" s="105" t="s">
        <v>111</v>
      </c>
      <c r="E12" s="110">
        <f>'Saisie résultats'!M33</f>
        <v>1</v>
      </c>
      <c r="F12" s="70">
        <f>'Saisie résultats'!N33</f>
        <v>1</v>
      </c>
      <c r="G12" s="2"/>
      <c r="H12" s="2"/>
      <c r="I12" s="86"/>
      <c r="J12" s="108">
        <f>'Saisie résultats'!M34</f>
        <v>1</v>
      </c>
      <c r="K12" s="71">
        <f>'Saisie résultats'!N34</f>
        <v>1</v>
      </c>
      <c r="L12" s="2"/>
      <c r="M12" s="86"/>
      <c r="N12" s="118">
        <f t="shared" si="0"/>
        <v>1</v>
      </c>
      <c r="O12" s="231">
        <f>SUM(E12:I13)/SUM(J12:M13)</f>
        <v>1</v>
      </c>
      <c r="P12" s="240"/>
    </row>
    <row r="13" spans="1:16" ht="23.25" customHeight="1" thickBot="1">
      <c r="A13" s="65"/>
      <c r="B13" s="201"/>
      <c r="C13" s="205"/>
      <c r="D13" s="96" t="s">
        <v>112</v>
      </c>
      <c r="E13" s="116">
        <f>'Saisie résultats'!AV33</f>
        <v>1</v>
      </c>
      <c r="F13" s="48"/>
      <c r="G13" s="48"/>
      <c r="H13" s="83"/>
      <c r="I13" s="87"/>
      <c r="J13" s="114">
        <f>'Saisie résultats'!AV34</f>
        <v>1</v>
      </c>
      <c r="K13" s="48"/>
      <c r="L13" s="48"/>
      <c r="M13" s="87"/>
      <c r="N13" s="119">
        <f t="shared" si="0"/>
        <v>1</v>
      </c>
      <c r="O13" s="233"/>
      <c r="P13" s="241"/>
    </row>
    <row r="14" spans="1:16" ht="23.25" customHeight="1">
      <c r="A14" s="65"/>
      <c r="B14" s="199" t="s">
        <v>158</v>
      </c>
      <c r="C14" s="206" t="s">
        <v>145</v>
      </c>
      <c r="D14" s="104" t="s">
        <v>113</v>
      </c>
      <c r="E14" s="113">
        <f>'Saisie résultats'!O33</f>
        <v>1</v>
      </c>
      <c r="F14" s="79">
        <f>'Saisie résultats'!P33</f>
        <v>1</v>
      </c>
      <c r="G14" s="97"/>
      <c r="H14" s="79"/>
      <c r="I14" s="92"/>
      <c r="J14" s="112">
        <f>'Saisie résultats'!O34</f>
        <v>1</v>
      </c>
      <c r="K14" s="80">
        <f>'Saisie résultats'!P34</f>
        <v>1</v>
      </c>
      <c r="L14" s="97"/>
      <c r="M14" s="92"/>
      <c r="N14" s="117">
        <f t="shared" si="0"/>
        <v>1</v>
      </c>
      <c r="O14" s="232">
        <f>SUM(E14:I15)/SUM(J14:M15)</f>
        <v>0.75</v>
      </c>
      <c r="P14" s="239">
        <f>SUM(E14:I17)/SUM(J14:M17)</f>
        <v>0.625</v>
      </c>
    </row>
    <row r="15" spans="1:16" ht="23.25" customHeight="1">
      <c r="A15" s="65"/>
      <c r="B15" s="200"/>
      <c r="C15" s="207"/>
      <c r="D15" s="94" t="s">
        <v>114</v>
      </c>
      <c r="E15" s="109">
        <f>'Saisie résultats'!AW33</f>
        <v>1</v>
      </c>
      <c r="F15" s="72">
        <f>'Saisie résultats'!AX33</f>
        <v>0</v>
      </c>
      <c r="G15" s="2"/>
      <c r="H15" s="2"/>
      <c r="I15" s="106"/>
      <c r="J15" s="108">
        <f>'Saisie résultats'!AW34</f>
        <v>1</v>
      </c>
      <c r="K15" s="71">
        <f>'Saisie résultats'!AX34</f>
        <v>1</v>
      </c>
      <c r="L15" s="2"/>
      <c r="M15" s="86"/>
      <c r="N15" s="118">
        <f t="shared" si="0"/>
        <v>0.5</v>
      </c>
      <c r="O15" s="231"/>
      <c r="P15" s="240"/>
    </row>
    <row r="16" spans="1:16" ht="23.25" customHeight="1">
      <c r="A16" s="65"/>
      <c r="B16" s="200"/>
      <c r="C16" s="207" t="s">
        <v>146</v>
      </c>
      <c r="D16" s="105" t="s">
        <v>115</v>
      </c>
      <c r="E16" s="110">
        <f>'Saisie résultats'!Q33</f>
        <v>1</v>
      </c>
      <c r="F16" s="70">
        <f>'Saisie résultats'!R33</f>
        <v>1</v>
      </c>
      <c r="G16" s="2"/>
      <c r="H16" s="70"/>
      <c r="I16" s="107"/>
      <c r="J16" s="108">
        <f>'Saisie résultats'!Q34</f>
        <v>1</v>
      </c>
      <c r="K16" s="71">
        <f>'Saisie résultats'!R34</f>
        <v>1</v>
      </c>
      <c r="L16" s="2"/>
      <c r="M16" s="86"/>
      <c r="N16" s="118">
        <f t="shared" si="0"/>
        <v>1</v>
      </c>
      <c r="O16" s="231">
        <f>SUM(E16:I17)/SUM(J16:M17)</f>
        <v>0.5</v>
      </c>
      <c r="P16" s="240"/>
    </row>
    <row r="17" spans="1:16" ht="23.25" customHeight="1" thickBot="1">
      <c r="A17" s="65"/>
      <c r="B17" s="201"/>
      <c r="C17" s="208"/>
      <c r="D17" s="96" t="s">
        <v>116</v>
      </c>
      <c r="E17" s="116">
        <f>'Saisie résultats'!AY33</f>
        <v>0</v>
      </c>
      <c r="F17" s="84">
        <f>'Saisie résultats'!AZ33</f>
        <v>0</v>
      </c>
      <c r="G17" s="48"/>
      <c r="H17" s="48"/>
      <c r="I17" s="99"/>
      <c r="J17" s="114">
        <f>'Saisie résultats'!AY34</f>
        <v>1</v>
      </c>
      <c r="K17" s="83">
        <f>'Saisie résultats'!AZ34</f>
        <v>1</v>
      </c>
      <c r="L17" s="48"/>
      <c r="M17" s="87"/>
      <c r="N17" s="119">
        <f t="shared" si="0"/>
        <v>0</v>
      </c>
      <c r="O17" s="233"/>
      <c r="P17" s="241"/>
    </row>
    <row r="18" spans="1:16" ht="23.25" customHeight="1">
      <c r="A18" s="65"/>
      <c r="B18" s="199" t="s">
        <v>159</v>
      </c>
      <c r="C18" s="206" t="s">
        <v>136</v>
      </c>
      <c r="D18" s="104" t="s">
        <v>117</v>
      </c>
      <c r="E18" s="113">
        <f>'Saisie résultats'!S33</f>
        <v>1</v>
      </c>
      <c r="F18" s="79">
        <f>'Saisie résultats'!T33</f>
        <v>0</v>
      </c>
      <c r="G18" s="79">
        <f>'Saisie résultats'!U33</f>
        <v>0</v>
      </c>
      <c r="H18" s="97"/>
      <c r="I18" s="88"/>
      <c r="J18" s="112">
        <f>'Saisie résultats'!S34</f>
        <v>1</v>
      </c>
      <c r="K18" s="80">
        <f>'Saisie résultats'!T34</f>
        <v>1</v>
      </c>
      <c r="L18" s="80">
        <f>'Saisie résultats'!U34</f>
        <v>1</v>
      </c>
      <c r="M18" s="85"/>
      <c r="N18" s="117">
        <f t="shared" si="0"/>
        <v>0.33333333333333331</v>
      </c>
      <c r="O18" s="232">
        <f>SUM(E18:I19)/SUM(J18:M19)</f>
        <v>0.16666666666666666</v>
      </c>
      <c r="P18" s="242">
        <f>SUM(E18:I27)/SUM(J18:M27)</f>
        <v>0.55000000000000004</v>
      </c>
    </row>
    <row r="19" spans="1:16" ht="23.25" customHeight="1">
      <c r="A19" s="65"/>
      <c r="B19" s="200"/>
      <c r="C19" s="207"/>
      <c r="D19" s="94" t="s">
        <v>118</v>
      </c>
      <c r="E19" s="109">
        <f>'Saisie résultats'!BA33</f>
        <v>0</v>
      </c>
      <c r="F19" s="72">
        <f>'Saisie résultats'!BB33</f>
        <v>0</v>
      </c>
      <c r="G19" s="72">
        <f>'Saisie résultats'!BC33</f>
        <v>0</v>
      </c>
      <c r="H19" s="2"/>
      <c r="I19" s="86"/>
      <c r="J19" s="108">
        <f>'Saisie résultats'!BA34</f>
        <v>1</v>
      </c>
      <c r="K19" s="71">
        <f>'Saisie résultats'!BB34</f>
        <v>1</v>
      </c>
      <c r="L19" s="71">
        <f>'Saisie résultats'!BC34</f>
        <v>1</v>
      </c>
      <c r="M19" s="89"/>
      <c r="N19" s="118">
        <f t="shared" si="0"/>
        <v>0</v>
      </c>
      <c r="O19" s="231"/>
      <c r="P19" s="243"/>
    </row>
    <row r="20" spans="1:16" ht="23.25" customHeight="1">
      <c r="A20" s="65"/>
      <c r="B20" s="200"/>
      <c r="C20" s="207" t="s">
        <v>137</v>
      </c>
      <c r="D20" s="105">
        <v>20</v>
      </c>
      <c r="E20" s="110">
        <f>'Saisie résultats'!V33</f>
        <v>0</v>
      </c>
      <c r="F20" s="2"/>
      <c r="G20" s="2"/>
      <c r="H20" s="71"/>
      <c r="I20" s="86"/>
      <c r="J20" s="108">
        <f>'Saisie résultats'!V34</f>
        <v>1</v>
      </c>
      <c r="K20" s="2"/>
      <c r="L20" s="2"/>
      <c r="M20" s="86"/>
      <c r="N20" s="118">
        <f t="shared" si="0"/>
        <v>0</v>
      </c>
      <c r="O20" s="231">
        <f>SUM(E20:I21)/SUM(J20:M21)</f>
        <v>0</v>
      </c>
      <c r="P20" s="243"/>
    </row>
    <row r="21" spans="1:16" ht="23.25" customHeight="1">
      <c r="A21" s="65"/>
      <c r="B21" s="200"/>
      <c r="C21" s="207"/>
      <c r="D21" s="94" t="s">
        <v>119</v>
      </c>
      <c r="E21" s="109">
        <f>'Saisie résultats'!BD33</f>
        <v>0</v>
      </c>
      <c r="F21" s="2"/>
      <c r="G21" s="71"/>
      <c r="H21" s="71"/>
      <c r="I21" s="86"/>
      <c r="J21" s="108">
        <f>'Saisie résultats'!BD34</f>
        <v>1</v>
      </c>
      <c r="K21" s="2"/>
      <c r="L21" s="71"/>
      <c r="M21" s="86"/>
      <c r="N21" s="118">
        <f t="shared" si="0"/>
        <v>0</v>
      </c>
      <c r="O21" s="231"/>
      <c r="P21" s="243"/>
    </row>
    <row r="22" spans="1:16" ht="23.25" customHeight="1">
      <c r="A22" s="65"/>
      <c r="B22" s="200"/>
      <c r="C22" s="207" t="s">
        <v>138</v>
      </c>
      <c r="D22" s="105" t="s">
        <v>120</v>
      </c>
      <c r="E22" s="110">
        <f>'Saisie résultats'!W33</f>
        <v>0</v>
      </c>
      <c r="F22" s="70">
        <f>'Saisie résultats'!X33</f>
        <v>1</v>
      </c>
      <c r="G22" s="2"/>
      <c r="H22" s="2"/>
      <c r="I22" s="86"/>
      <c r="J22" s="108">
        <f>'Saisie résultats'!W34</f>
        <v>1</v>
      </c>
      <c r="K22" s="71">
        <f>'Saisie résultats'!X34</f>
        <v>1</v>
      </c>
      <c r="L22" s="2"/>
      <c r="M22" s="89"/>
      <c r="N22" s="118">
        <f t="shared" si="0"/>
        <v>0.5</v>
      </c>
      <c r="O22" s="231">
        <f>SUM(E22:I23)/SUM(J22:M23)</f>
        <v>0.33333333333333331</v>
      </c>
      <c r="P22" s="243"/>
    </row>
    <row r="23" spans="1:16" ht="23.25" customHeight="1">
      <c r="A23" s="65"/>
      <c r="B23" s="200"/>
      <c r="C23" s="207"/>
      <c r="D23" s="94" t="s">
        <v>121</v>
      </c>
      <c r="E23" s="109">
        <f>'Saisie résultats'!BE33</f>
        <v>0</v>
      </c>
      <c r="F23" s="2"/>
      <c r="G23" s="2"/>
      <c r="H23" s="71"/>
      <c r="I23" s="86"/>
      <c r="J23" s="108">
        <f>'Saisie résultats'!BE34</f>
        <v>1</v>
      </c>
      <c r="K23" s="2"/>
      <c r="L23" s="2"/>
      <c r="M23" s="86"/>
      <c r="N23" s="118">
        <f t="shared" si="0"/>
        <v>0</v>
      </c>
      <c r="O23" s="231"/>
      <c r="P23" s="243"/>
    </row>
    <row r="24" spans="1:16" ht="23.25" customHeight="1">
      <c r="A24" s="65"/>
      <c r="B24" s="200"/>
      <c r="C24" s="207" t="s">
        <v>139</v>
      </c>
      <c r="D24" s="105" t="s">
        <v>122</v>
      </c>
      <c r="E24" s="110">
        <f>'Saisie résultats'!Y33</f>
        <v>1</v>
      </c>
      <c r="F24" s="70">
        <f>'Saisie résultats'!Z33</f>
        <v>1</v>
      </c>
      <c r="G24" s="2"/>
      <c r="H24" s="2"/>
      <c r="I24" s="89"/>
      <c r="J24" s="108">
        <f>'Saisie résultats'!Y34</f>
        <v>1</v>
      </c>
      <c r="K24" s="71">
        <f>'Saisie résultats'!Z34</f>
        <v>1</v>
      </c>
      <c r="L24" s="2"/>
      <c r="M24" s="86"/>
      <c r="N24" s="118">
        <f t="shared" si="0"/>
        <v>1</v>
      </c>
      <c r="O24" s="231">
        <f>SUM(E24:I25)/SUM(J24:M25)</f>
        <v>1</v>
      </c>
      <c r="P24" s="243"/>
    </row>
    <row r="25" spans="1:16" ht="23.25" customHeight="1">
      <c r="A25" s="65"/>
      <c r="B25" s="200"/>
      <c r="C25" s="207"/>
      <c r="D25" s="94" t="s">
        <v>123</v>
      </c>
      <c r="E25" s="109">
        <f>'Saisie résultats'!BF33</f>
        <v>1</v>
      </c>
      <c r="F25" s="72">
        <f>'Saisie résultats'!BG33</f>
        <v>1</v>
      </c>
      <c r="G25" s="2"/>
      <c r="H25" s="2"/>
      <c r="I25" s="60"/>
      <c r="J25" s="108">
        <f>'Saisie résultats'!BF34</f>
        <v>1</v>
      </c>
      <c r="K25" s="71">
        <f>'Saisie résultats'!BG34</f>
        <v>1</v>
      </c>
      <c r="L25" s="2"/>
      <c r="M25" s="86"/>
      <c r="N25" s="118" t="e">
        <f>SUM(E25:H25)/SUM(L25:M25)</f>
        <v>#DIV/0!</v>
      </c>
      <c r="O25" s="231"/>
      <c r="P25" s="243"/>
    </row>
    <row r="26" spans="1:16" ht="23.25" customHeight="1">
      <c r="A26" s="65"/>
      <c r="B26" s="200"/>
      <c r="C26" s="207" t="s">
        <v>140</v>
      </c>
      <c r="D26" s="105" t="s">
        <v>124</v>
      </c>
      <c r="E26" s="110">
        <f>'Saisie résultats'!AA33</f>
        <v>1</v>
      </c>
      <c r="F26" s="70">
        <f>'Saisie résultats'!AB33</f>
        <v>1</v>
      </c>
      <c r="G26" s="70">
        <f>'Saisie résultats'!AC33</f>
        <v>1</v>
      </c>
      <c r="H26" s="2"/>
      <c r="I26" s="86"/>
      <c r="J26" s="108">
        <f>'Saisie résultats'!AA34</f>
        <v>1</v>
      </c>
      <c r="K26" s="71">
        <f>'Saisie résultats'!AB34</f>
        <v>1</v>
      </c>
      <c r="L26" s="71">
        <f>'Saisie résultats'!AC34</f>
        <v>1</v>
      </c>
      <c r="M26" s="89"/>
      <c r="N26" s="118">
        <f t="shared" ref="N26:N34" si="1">SUM(E26:I26)/SUM(J26:M26)</f>
        <v>1</v>
      </c>
      <c r="O26" s="231">
        <f>SUM(E26:I27)/SUM(J26:M27)</f>
        <v>1</v>
      </c>
      <c r="P26" s="243"/>
    </row>
    <row r="27" spans="1:16" ht="23.25" customHeight="1" thickBot="1">
      <c r="A27" s="65"/>
      <c r="B27" s="201"/>
      <c r="C27" s="208"/>
      <c r="D27" s="96" t="s">
        <v>125</v>
      </c>
      <c r="E27" s="116">
        <f>'Saisie résultats'!BH33</f>
        <v>1</v>
      </c>
      <c r="F27" s="84">
        <f>'Saisie résultats'!BI33</f>
        <v>1</v>
      </c>
      <c r="G27" s="48"/>
      <c r="H27" s="83"/>
      <c r="I27" s="87"/>
      <c r="J27" s="114">
        <f>'Saisie résultats'!BH34</f>
        <v>1</v>
      </c>
      <c r="K27" s="83">
        <f>'Saisie résultats'!BI34</f>
        <v>1</v>
      </c>
      <c r="L27" s="48"/>
      <c r="M27" s="87"/>
      <c r="N27" s="119">
        <f t="shared" si="1"/>
        <v>1</v>
      </c>
      <c r="O27" s="233"/>
      <c r="P27" s="244"/>
    </row>
    <row r="28" spans="1:16" ht="23.25" customHeight="1">
      <c r="A28" s="66"/>
      <c r="B28" s="202" t="s">
        <v>162</v>
      </c>
      <c r="C28" s="206" t="s">
        <v>141</v>
      </c>
      <c r="D28" s="104" t="s">
        <v>126</v>
      </c>
      <c r="E28" s="113">
        <f>'Saisie résultats'!AD33</f>
        <v>1</v>
      </c>
      <c r="F28" s="79">
        <f>'Saisie résultats'!AE33</f>
        <v>1</v>
      </c>
      <c r="G28" s="79"/>
      <c r="H28" s="97"/>
      <c r="I28" s="85"/>
      <c r="J28" s="112">
        <f>'Saisie résultats'!AD34</f>
        <v>1</v>
      </c>
      <c r="K28" s="80">
        <f>'Saisie résultats'!AE34</f>
        <v>1</v>
      </c>
      <c r="L28" s="80"/>
      <c r="M28" s="85"/>
      <c r="N28" s="117">
        <f t="shared" si="1"/>
        <v>1</v>
      </c>
      <c r="O28" s="232">
        <f>SUM(E28:I29)/SUM(J28:M29)</f>
        <v>0.66666666666666663</v>
      </c>
      <c r="P28" s="232">
        <f>O28</f>
        <v>0.66666666666666663</v>
      </c>
    </row>
    <row r="29" spans="1:16" ht="23.25" customHeight="1" thickBot="1">
      <c r="A29" s="66"/>
      <c r="B29" s="203"/>
      <c r="C29" s="210"/>
      <c r="D29" s="153" t="s">
        <v>127</v>
      </c>
      <c r="E29" s="154">
        <f>'Saisie résultats'!BJ33</f>
        <v>0</v>
      </c>
      <c r="F29" s="141"/>
      <c r="G29" s="141"/>
      <c r="H29" s="141"/>
      <c r="I29" s="147"/>
      <c r="J29" s="155">
        <f>'Saisie résultats'!BJ34</f>
        <v>1</v>
      </c>
      <c r="K29" s="141"/>
      <c r="L29" s="141"/>
      <c r="M29" s="147"/>
      <c r="N29" s="151">
        <f t="shared" si="1"/>
        <v>0</v>
      </c>
      <c r="O29" s="238"/>
      <c r="P29" s="238"/>
    </row>
    <row r="30" spans="1:16" ht="23.25" customHeight="1">
      <c r="A30" s="66"/>
      <c r="B30" s="188" t="s">
        <v>160</v>
      </c>
      <c r="C30" s="227" t="s">
        <v>142</v>
      </c>
      <c r="D30" s="77" t="s">
        <v>128</v>
      </c>
      <c r="E30" s="78">
        <f>'Saisie résultats'!AG33</f>
        <v>1</v>
      </c>
      <c r="F30" s="79">
        <f>'Saisie résultats'!AH33</f>
        <v>0</v>
      </c>
      <c r="G30" s="97"/>
      <c r="H30" s="97"/>
      <c r="I30" s="85"/>
      <c r="J30" s="112">
        <f>'Saisie résultats'!AG34</f>
        <v>1</v>
      </c>
      <c r="K30" s="80">
        <f>'Saisie résultats'!AH34</f>
        <v>1</v>
      </c>
      <c r="L30" s="97"/>
      <c r="M30" s="149"/>
      <c r="N30" s="117">
        <f t="shared" si="1"/>
        <v>0.5</v>
      </c>
      <c r="O30" s="232">
        <f>SUM(E30:I31)/SUM(J30:M31)</f>
        <v>0.5</v>
      </c>
      <c r="P30" s="224">
        <f>SUM(E30:I33)/SUM(J30:M33)</f>
        <v>0.77777777777777779</v>
      </c>
    </row>
    <row r="31" spans="1:16" ht="23.25" customHeight="1">
      <c r="A31" s="66"/>
      <c r="B31" s="189"/>
      <c r="C31" s="228"/>
      <c r="D31" s="76" t="s">
        <v>129</v>
      </c>
      <c r="E31" s="74">
        <f>'Saisie résultats'!BK33</f>
        <v>1</v>
      </c>
      <c r="F31" s="72">
        <f>'Saisie résultats'!BL33</f>
        <v>0</v>
      </c>
      <c r="G31" s="2"/>
      <c r="H31" s="2"/>
      <c r="I31" s="89"/>
      <c r="J31" s="108">
        <f>'Saisie résultats'!BK34</f>
        <v>1</v>
      </c>
      <c r="K31" s="71">
        <f>'Saisie résultats'!BL34</f>
        <v>1</v>
      </c>
      <c r="L31" s="2"/>
      <c r="M31" s="127"/>
      <c r="N31" s="118">
        <f t="shared" si="1"/>
        <v>0.5</v>
      </c>
      <c r="O31" s="231"/>
      <c r="P31" s="225"/>
    </row>
    <row r="32" spans="1:16" ht="23.25" customHeight="1">
      <c r="A32" s="66"/>
      <c r="B32" s="189"/>
      <c r="C32" s="229" t="s">
        <v>143</v>
      </c>
      <c r="D32" s="75" t="s">
        <v>130</v>
      </c>
      <c r="E32" s="73">
        <f>'Saisie résultats'!AI33</f>
        <v>1</v>
      </c>
      <c r="F32" s="70">
        <f>'Saisie résultats'!AJ33</f>
        <v>1</v>
      </c>
      <c r="G32" s="70">
        <f>'Saisie résultats'!AK33</f>
        <v>1</v>
      </c>
      <c r="H32" s="70">
        <f>'Saisie résultats'!AL33</f>
        <v>1</v>
      </c>
      <c r="I32" s="89"/>
      <c r="J32" s="108">
        <f>'Saisie résultats'!AI34</f>
        <v>1</v>
      </c>
      <c r="K32" s="71">
        <f>'Saisie résultats'!AJ34</f>
        <v>1</v>
      </c>
      <c r="L32" s="71">
        <f>'Saisie résultats'!AK34</f>
        <v>1</v>
      </c>
      <c r="M32" s="164">
        <f>'Saisie résultats'!AL34</f>
        <v>1</v>
      </c>
      <c r="N32" s="118">
        <f t="shared" si="1"/>
        <v>1</v>
      </c>
      <c r="O32" s="222">
        <f>SUM(E32:I33)/SUM(J32:M33)</f>
        <v>1</v>
      </c>
      <c r="P32" s="225"/>
    </row>
    <row r="33" spans="1:16" ht="23.25" customHeight="1" thickBot="1">
      <c r="A33" s="66"/>
      <c r="B33" s="190"/>
      <c r="C33" s="230"/>
      <c r="D33" s="81" t="s">
        <v>167</v>
      </c>
      <c r="E33" s="82">
        <f>'Saisie résultats'!BM33</f>
        <v>1</v>
      </c>
      <c r="F33" s="48"/>
      <c r="G33" s="48"/>
      <c r="H33" s="48"/>
      <c r="I33" s="99"/>
      <c r="J33" s="114">
        <f>'Saisie résultats'!BM34</f>
        <v>1</v>
      </c>
      <c r="K33" s="48"/>
      <c r="L33" s="48"/>
      <c r="M33" s="148"/>
      <c r="N33" s="119">
        <f>SUM(E33:I33)/SUM(J33:M33)</f>
        <v>1</v>
      </c>
      <c r="O33" s="223"/>
      <c r="P33" s="226"/>
    </row>
    <row r="34" spans="1:16" ht="22.5" customHeight="1" thickBot="1">
      <c r="A34" s="66"/>
      <c r="B34" s="162" t="s">
        <v>161</v>
      </c>
      <c r="C34" s="152" t="s">
        <v>144</v>
      </c>
      <c r="D34" s="156" t="s">
        <v>131</v>
      </c>
      <c r="E34" s="163">
        <f>'Saisie résultats'!AM33</f>
        <v>1</v>
      </c>
      <c r="F34" s="157">
        <f>'Saisie résultats'!AN33</f>
        <v>1</v>
      </c>
      <c r="G34" s="158"/>
      <c r="H34" s="158"/>
      <c r="I34" s="159"/>
      <c r="J34" s="160">
        <f>'Saisie résultats'!AM34</f>
        <v>1</v>
      </c>
      <c r="K34" s="161">
        <f>'Saisie résultats'!AN34</f>
        <v>1</v>
      </c>
      <c r="L34" s="158"/>
      <c r="M34" s="159"/>
      <c r="N34" s="120">
        <f t="shared" si="1"/>
        <v>1</v>
      </c>
      <c r="O34" s="121">
        <f>N34</f>
        <v>1</v>
      </c>
      <c r="P34" s="121">
        <f>O34</f>
        <v>1</v>
      </c>
    </row>
  </sheetData>
  <dataConsolidate function="count"/>
  <mergeCells count="47">
    <mergeCell ref="P4:P9"/>
    <mergeCell ref="P10:P13"/>
    <mergeCell ref="P14:P17"/>
    <mergeCell ref="P18:P27"/>
    <mergeCell ref="P28:P29"/>
    <mergeCell ref="O22:O23"/>
    <mergeCell ref="O8:O9"/>
    <mergeCell ref="O26:O27"/>
    <mergeCell ref="O12:O13"/>
    <mergeCell ref="O20:O21"/>
    <mergeCell ref="O4:O5"/>
    <mergeCell ref="O28:O29"/>
    <mergeCell ref="O30:O31"/>
    <mergeCell ref="O14:O15"/>
    <mergeCell ref="O16:O17"/>
    <mergeCell ref="O18:O19"/>
    <mergeCell ref="E3:I3"/>
    <mergeCell ref="J3:M3"/>
    <mergeCell ref="O10:O11"/>
    <mergeCell ref="O6:O7"/>
    <mergeCell ref="B18:B27"/>
    <mergeCell ref="C18:C19"/>
    <mergeCell ref="C22:C23"/>
    <mergeCell ref="C16:C17"/>
    <mergeCell ref="C8:C9"/>
    <mergeCell ref="O24:O25"/>
    <mergeCell ref="C26:C27"/>
    <mergeCell ref="B10:B13"/>
    <mergeCell ref="C14:C15"/>
    <mergeCell ref="B30:B33"/>
    <mergeCell ref="C32:C33"/>
    <mergeCell ref="C10:C11"/>
    <mergeCell ref="B14:B17"/>
    <mergeCell ref="C4:C5"/>
    <mergeCell ref="B28:B29"/>
    <mergeCell ref="C28:C29"/>
    <mergeCell ref="C6:C7"/>
    <mergeCell ref="O32:O33"/>
    <mergeCell ref="P30:P33"/>
    <mergeCell ref="C30:C31"/>
    <mergeCell ref="A1:N1"/>
    <mergeCell ref="A2:B2"/>
    <mergeCell ref="A3:C3"/>
    <mergeCell ref="C12:C13"/>
    <mergeCell ref="C24:C25"/>
    <mergeCell ref="C20:C21"/>
    <mergeCell ref="B4:B9"/>
  </mergeCells>
  <phoneticPr fontId="6" type="noConversion"/>
  <conditionalFormatting sqref="N4:N34 O4:O32 P4:P30 O34:P34">
    <cfRule type="cellIs" dxfId="2" priority="2" stopIfTrue="1" operator="lessThan">
      <formula>0.5</formula>
    </cfRule>
    <cfRule type="cellIs" dxfId="1" priority="3" stopIfTrue="1" operator="between">
      <formula>0.5</formula>
      <formula>0.7</formula>
    </cfRule>
    <cfRule type="cellIs" dxfId="0" priority="4" stopIfTrue="1" operator="greaterThan">
      <formula>0.7</formula>
    </cfRule>
  </conditionalFormatting>
  <conditionalFormatting sqref="O4:O14 O16 N4:N27 O19 O24:O27 P26:P27 P4:P12 P16:P1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.78740157480314965" right="0.78740157480314965" top="0.43" bottom="0.47" header="0.3" footer="0.27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Liste élèves</vt:lpstr>
      <vt:lpstr>Saisie résultats</vt:lpstr>
      <vt:lpstr>Synthèse élèves</vt:lpstr>
      <vt:lpstr>Synthèse classe</vt:lpstr>
      <vt:lpstr>'Synthèse classe'!ELEVE</vt:lpstr>
      <vt:lpstr>ELEVE</vt:lpstr>
      <vt:lpstr>ELEVES</vt:lpstr>
      <vt:lpstr>'Saisie résultats'!Zone_d_impression</vt:lpstr>
      <vt:lpstr>'Synthèse classe'!Zone_d_impression</vt:lpstr>
      <vt:lpstr>'Synthèse élèves'!Zone_d_impression</vt:lpstr>
      <vt:lpstr>ZONERESULTATS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</dc:creator>
  <cp:lastModifiedBy>Jean-Claude</cp:lastModifiedBy>
  <cp:lastPrinted>2010-05-04T10:25:21Z</cp:lastPrinted>
  <dcterms:created xsi:type="dcterms:W3CDTF">2009-06-19T12:32:56Z</dcterms:created>
  <dcterms:modified xsi:type="dcterms:W3CDTF">2010-05-05T08:58:12Z</dcterms:modified>
</cp:coreProperties>
</file>